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Pessoal\Tribunal de Contas do Distrito Federal\SELIC SPC - General\compras\Editais\Pregão\2024\"/>
    </mc:Choice>
  </mc:AlternateContent>
  <bookViews>
    <workbookView xWindow="0" yWindow="0" windowWidth="20490" windowHeight="7050"/>
  </bookViews>
  <sheets>
    <sheet name="Áreas_edf_e_Descrição_postos" sheetId="165" r:id="rId1"/>
    <sheet name="Linhas-Empresas-Tarifas_2024" sheetId="167" r:id="rId2"/>
    <sheet name="Escalas, VT e VA" sheetId="95" r:id="rId3"/>
    <sheet name="Materiais de consumo" sheetId="161" r:id="rId4"/>
    <sheet name="Uniformes_Equipe" sheetId="121" r:id="rId5"/>
    <sheet name="Encargos Sociais" sheetId="78" r:id="rId6"/>
    <sheet name="1_Supervisor" sheetId="171" r:id="rId7"/>
    <sheet name="2_Garçon" sheetId="170" r:id="rId8"/>
    <sheet name="3_Copeiro" sheetId="172" r:id="rId9"/>
    <sheet name="Conta Vinculada" sheetId="83" r:id="rId10"/>
    <sheet name="RESUMO_Preços" sheetId="84" r:id="rId11"/>
    <sheet name="Comparativos" sheetId="58" state="hidden" r:id="rId12"/>
    <sheet name="RP_e_CA_Lucro_Presumido" sheetId="138" r:id="rId13"/>
    <sheet name="Comparativo" sheetId="158" state="hidden" r:id="rId14"/>
    <sheet name="PIS_E_Cofins_em_Branco" sheetId="86" r:id="rId15"/>
    <sheet name="MD_Uniformes_Equipe " sheetId="169" r:id="rId16"/>
    <sheet name="MD_Materiais de consumo" sheetId="173" r:id="rId17"/>
    <sheet name="MD_Supervisor" sheetId="174" r:id="rId18"/>
    <sheet name="MD_Garçon" sheetId="175" r:id="rId19"/>
    <sheet name="MD_Copeiro" sheetId="176" r:id="rId20"/>
    <sheet name="MD_Conta_Vinculada" sheetId="163" r:id="rId21"/>
    <sheet name="MD_RESUMO_Preços" sheetId="164" r:id="rId22"/>
    <sheet name="Exemplo_Conf_PIS_E_Cofins_LP" sheetId="87" state="hidden" r:id="rId23"/>
    <sheet name="Exemplo_Preenchimento_PIS_e_Co" sheetId="88" state="hidden" r:id="rId24"/>
  </sheets>
  <definedNames>
    <definedName name="_xlnm._FilterDatabase" localSheetId="1" hidden="1">'Linhas-Empresas-Tarifas_2024'!$A$10:$T$509</definedName>
    <definedName name="AGENTE_D_VAZIA" localSheetId="6">#REF!</definedName>
    <definedName name="AGENTE_D_VAZIA" localSheetId="7">#REF!</definedName>
    <definedName name="AGENTE_D_VAZIA" localSheetId="8">#REF!</definedName>
    <definedName name="AGENTE_D_VAZIA" localSheetId="9">#REF!</definedName>
    <definedName name="AGENTE_D_VAZIA" localSheetId="5">#REF!</definedName>
    <definedName name="AGENTE_D_VAZIA" localSheetId="2">#REF!</definedName>
    <definedName name="AGENTE_D_VAZIA" localSheetId="22">#REF!</definedName>
    <definedName name="AGENTE_D_VAZIA" localSheetId="23">#REF!</definedName>
    <definedName name="AGENTE_D_VAZIA" localSheetId="20">#REF!</definedName>
    <definedName name="AGENTE_D_VAZIA" localSheetId="19">#REF!</definedName>
    <definedName name="AGENTE_D_VAZIA" localSheetId="18">#REF!</definedName>
    <definedName name="AGENTE_D_VAZIA" localSheetId="21">#REF!</definedName>
    <definedName name="AGENTE_D_VAZIA" localSheetId="17">#REF!</definedName>
    <definedName name="AGENTE_D_VAZIA" localSheetId="15">#REF!</definedName>
    <definedName name="AGENTE_D_VAZIA" localSheetId="14">#REF!</definedName>
    <definedName name="AGENTE_D_VAZIA" localSheetId="10">#REF!</definedName>
    <definedName name="AGENTE_D_VAZIA" localSheetId="12">#REF!</definedName>
    <definedName name="AGENTE_D_VAZIA" localSheetId="4">#REF!</definedName>
    <definedName name="AGENTE_D_VAZIA">#REF!</definedName>
    <definedName name="_xlnm.Print_Area" localSheetId="6">'1_Supervisor'!$B$2:$E$87</definedName>
    <definedName name="_xlnm.Print_Area" localSheetId="7">'2_Garçon'!$B$2:$E$87</definedName>
    <definedName name="_xlnm.Print_Area" localSheetId="8">'3_Copeiro'!$B$2:$E$87</definedName>
    <definedName name="_xlnm.Print_Area" localSheetId="0">Áreas_edf_e_Descrição_postos!$B$2:$E$17</definedName>
    <definedName name="_xlnm.Print_Area" localSheetId="13">Comparativo!$C$3:$N$8,Comparativo!$C$14:$O$28</definedName>
    <definedName name="_xlnm.Print_Area" localSheetId="11">Comparativos!$B$12:$V$31,Comparativos!$B$3:$M$8</definedName>
    <definedName name="_xlnm.Print_Area" localSheetId="9">'Conta Vinculada'!$B$2:$N$9</definedName>
    <definedName name="_xlnm.Print_Area" localSheetId="5">'Encargos Sociais'!$B$2:$W$108</definedName>
    <definedName name="_xlnm.Print_Area" localSheetId="2">'Escalas, VT e VA'!$B$2:$K$33</definedName>
    <definedName name="_xlnm.Print_Area" localSheetId="22">Exemplo_Conf_PIS_E_Cofins_LP!$F$4:$M$18</definedName>
    <definedName name="_xlnm.Print_Area" localSheetId="23">Exemplo_Preenchimento_PIS_e_Co!$F$4:$Z$19</definedName>
    <definedName name="_xlnm.Print_Area" localSheetId="20">MD_Conta_Vinculada!$B$2:$N$9</definedName>
    <definedName name="_xlnm.Print_Area" localSheetId="19">MD_Copeiro!$B$2:$E$87</definedName>
    <definedName name="_xlnm.Print_Area" localSheetId="18">MD_Garçon!$B$2:$E$87</definedName>
    <definedName name="_xlnm.Print_Area" localSheetId="21">MD_RESUMO_Preços!$B$2:$I$28</definedName>
    <definedName name="_xlnm.Print_Area" localSheetId="17">MD_Supervisor!$B$2:$E$87</definedName>
    <definedName name="_xlnm.Print_Area" localSheetId="15">'MD_Uniformes_Equipe '!$D$3:$I$90</definedName>
    <definedName name="_xlnm.Print_Area" localSheetId="14">PIS_E_Cofins_em_Branco!$F$4:$Z$19</definedName>
    <definedName name="_xlnm.Print_Area" localSheetId="10">RESUMO_Preços!$B$2:$I$41</definedName>
    <definedName name="_xlnm.Print_Area" localSheetId="12">RP_e_CA_Lucro_Presumido!$B$2:$I$31</definedName>
    <definedName name="_xlnm.Print_Area" localSheetId="4">Uniformes_Equipe!$D$3:$I$90</definedName>
    <definedName name="asdasd" localSheetId="6">#REF!</definedName>
    <definedName name="asdasd" localSheetId="7">#REF!</definedName>
    <definedName name="asdasd" localSheetId="8">#REF!</definedName>
    <definedName name="asdasd" localSheetId="19">#REF!</definedName>
    <definedName name="asdasd" localSheetId="18">#REF!</definedName>
    <definedName name="asdasd" localSheetId="17">#REF!</definedName>
    <definedName name="asdasd">#REF!</definedName>
    <definedName name="asdasdas" localSheetId="6">#REF!</definedName>
    <definedName name="asdasdas" localSheetId="7">#REF!</definedName>
    <definedName name="asdasdas" localSheetId="8">#REF!</definedName>
    <definedName name="asdasdas" localSheetId="19">#REF!</definedName>
    <definedName name="asdasdas" localSheetId="18">#REF!</definedName>
    <definedName name="asdasdas" localSheetId="17">#REF!</definedName>
    <definedName name="asdasdas">#REF!</definedName>
    <definedName name="CPMF" localSheetId="6">#REF!</definedName>
    <definedName name="CPMF" localSheetId="7">#REF!</definedName>
    <definedName name="CPMF" localSheetId="8">#REF!</definedName>
    <definedName name="CPMF" localSheetId="19">#REF!</definedName>
    <definedName name="CPMF" localSheetId="18">#REF!</definedName>
    <definedName name="CPMF" localSheetId="17">#REF!</definedName>
    <definedName name="CPMF">#REF!</definedName>
    <definedName name="dedede" localSheetId="6">#REF!</definedName>
    <definedName name="dedede" localSheetId="7">#REF!</definedName>
    <definedName name="dedede" localSheetId="8">#REF!</definedName>
    <definedName name="dedede" localSheetId="9">#REF!</definedName>
    <definedName name="dedede" localSheetId="5">#REF!</definedName>
    <definedName name="dedede" localSheetId="2">#REF!</definedName>
    <definedName name="dedede" localSheetId="22">#REF!</definedName>
    <definedName name="dedede" localSheetId="23">#REF!</definedName>
    <definedName name="dedede" localSheetId="20">#REF!</definedName>
    <definedName name="dedede" localSheetId="19">#REF!</definedName>
    <definedName name="dedede" localSheetId="18">#REF!</definedName>
    <definedName name="dedede" localSheetId="21">#REF!</definedName>
    <definedName name="dedede" localSheetId="17">#REF!</definedName>
    <definedName name="dedede" localSheetId="15">#REF!</definedName>
    <definedName name="dedede" localSheetId="14">#REF!</definedName>
    <definedName name="dedede" localSheetId="10">#REF!</definedName>
    <definedName name="dedede" localSheetId="12">#REF!</definedName>
    <definedName name="dedede" localSheetId="4">#REF!</definedName>
    <definedName name="dedede">#REF!</definedName>
    <definedName name="dia" localSheetId="6">#REF!</definedName>
    <definedName name="dia" localSheetId="7">#REF!</definedName>
    <definedName name="dia" localSheetId="8">#REF!</definedName>
    <definedName name="dia" localSheetId="9">#REF!</definedName>
    <definedName name="dia" localSheetId="5">#REF!</definedName>
    <definedName name="dia" localSheetId="2">#REF!</definedName>
    <definedName name="dia" localSheetId="22">#REF!</definedName>
    <definedName name="dia" localSheetId="23">#REF!</definedName>
    <definedName name="dia" localSheetId="20">#REF!</definedName>
    <definedName name="dia" localSheetId="19">#REF!</definedName>
    <definedName name="dia" localSheetId="18">#REF!</definedName>
    <definedName name="dia" localSheetId="21">#REF!</definedName>
    <definedName name="dia" localSheetId="17">#REF!</definedName>
    <definedName name="dia" localSheetId="15">#REF!</definedName>
    <definedName name="dia" localSheetId="14">#REF!</definedName>
    <definedName name="dia" localSheetId="10">#REF!</definedName>
    <definedName name="dia" localSheetId="12">#REF!</definedName>
    <definedName name="dia" localSheetId="4">#REF!</definedName>
    <definedName name="dia">#REF!</definedName>
    <definedName name="Encarregado_Novo" localSheetId="6">#REF!</definedName>
    <definedName name="Encarregado_Novo" localSheetId="7">#REF!</definedName>
    <definedName name="Encarregado_Novo" localSheetId="8">#REF!</definedName>
    <definedName name="Encarregado_Novo" localSheetId="19">#REF!</definedName>
    <definedName name="Encarregado_Novo" localSheetId="18">#REF!</definedName>
    <definedName name="Encarregado_Novo" localSheetId="17">#REF!</definedName>
    <definedName name="Encarregado_Novo">#REF!</definedName>
    <definedName name="Escala_Oficial" localSheetId="6">#REF!</definedName>
    <definedName name="Escala_Oficial" localSheetId="7">#REF!</definedName>
    <definedName name="Escala_Oficial" localSheetId="8">#REF!</definedName>
    <definedName name="Escala_Oficial" localSheetId="9">#REF!</definedName>
    <definedName name="Escala_Oficial" localSheetId="5">#REF!</definedName>
    <definedName name="Escala_Oficial" localSheetId="2">#REF!</definedName>
    <definedName name="Escala_Oficial" localSheetId="22">#REF!</definedName>
    <definedName name="Escala_Oficial" localSheetId="23">#REF!</definedName>
    <definedName name="Escala_Oficial" localSheetId="20">#REF!</definedName>
    <definedName name="Escala_Oficial" localSheetId="19">#REF!</definedName>
    <definedName name="Escala_Oficial" localSheetId="18">#REF!</definedName>
    <definedName name="Escala_Oficial" localSheetId="21">#REF!</definedName>
    <definedName name="Escala_Oficial" localSheetId="17">#REF!</definedName>
    <definedName name="Escala_Oficial" localSheetId="15">#REF!</definedName>
    <definedName name="Escala_Oficial" localSheetId="14">#REF!</definedName>
    <definedName name="Escala_Oficial" localSheetId="10">#REF!</definedName>
    <definedName name="Escala_Oficial" localSheetId="12">#REF!</definedName>
    <definedName name="Escala_Oficial" localSheetId="4">#REF!</definedName>
    <definedName name="Escala_Oficial">#REF!</definedName>
    <definedName name="Excel_BuiltIn_Print_Area_1" localSheetId="6">#REF!</definedName>
    <definedName name="Excel_BuiltIn_Print_Area_1" localSheetId="7">#REF!</definedName>
    <definedName name="Excel_BuiltIn_Print_Area_1" localSheetId="8">#REF!</definedName>
    <definedName name="Excel_BuiltIn_Print_Area_1" localSheetId="9">#REF!</definedName>
    <definedName name="Excel_BuiltIn_Print_Area_1" localSheetId="5">#REF!</definedName>
    <definedName name="Excel_BuiltIn_Print_Area_1" localSheetId="2">#REF!</definedName>
    <definedName name="Excel_BuiltIn_Print_Area_1" localSheetId="22">#REF!</definedName>
    <definedName name="Excel_BuiltIn_Print_Area_1" localSheetId="23">#REF!</definedName>
    <definedName name="Excel_BuiltIn_Print_Area_1" localSheetId="20">#REF!</definedName>
    <definedName name="Excel_BuiltIn_Print_Area_1" localSheetId="19">#REF!</definedName>
    <definedName name="Excel_BuiltIn_Print_Area_1" localSheetId="18">#REF!</definedName>
    <definedName name="Excel_BuiltIn_Print_Area_1" localSheetId="21">#REF!</definedName>
    <definedName name="Excel_BuiltIn_Print_Area_1" localSheetId="17">#REF!</definedName>
    <definedName name="Excel_BuiltIn_Print_Area_1" localSheetId="15">#REF!</definedName>
    <definedName name="Excel_BuiltIn_Print_Area_1" localSheetId="14">#REF!</definedName>
    <definedName name="Excel_BuiltIn_Print_Area_1" localSheetId="10">#REF!</definedName>
    <definedName name="Excel_BuiltIn_Print_Area_1" localSheetId="12">#REF!</definedName>
    <definedName name="Excel_BuiltIn_Print_Area_1" localSheetId="4">#REF!</definedName>
    <definedName name="Excel_BuiltIn_Print_Area_1">#REF!</definedName>
    <definedName name="Excel_BuiltIn_Print_Area_1_1" localSheetId="6">#REF!</definedName>
    <definedName name="Excel_BuiltIn_Print_Area_1_1" localSheetId="7">#REF!</definedName>
    <definedName name="Excel_BuiltIn_Print_Area_1_1" localSheetId="8">#REF!</definedName>
    <definedName name="Excel_BuiltIn_Print_Area_1_1" localSheetId="9">#REF!</definedName>
    <definedName name="Excel_BuiltIn_Print_Area_1_1" localSheetId="5">#REF!</definedName>
    <definedName name="Excel_BuiltIn_Print_Area_1_1" localSheetId="2">#REF!</definedName>
    <definedName name="Excel_BuiltIn_Print_Area_1_1" localSheetId="22">#REF!</definedName>
    <definedName name="Excel_BuiltIn_Print_Area_1_1" localSheetId="23">#REF!</definedName>
    <definedName name="Excel_BuiltIn_Print_Area_1_1" localSheetId="20">#REF!</definedName>
    <definedName name="Excel_BuiltIn_Print_Area_1_1" localSheetId="19">#REF!</definedName>
    <definedName name="Excel_BuiltIn_Print_Area_1_1" localSheetId="18">#REF!</definedName>
    <definedName name="Excel_BuiltIn_Print_Area_1_1" localSheetId="21">#REF!</definedName>
    <definedName name="Excel_BuiltIn_Print_Area_1_1" localSheetId="17">#REF!</definedName>
    <definedName name="Excel_BuiltIn_Print_Area_1_1" localSheetId="15">#REF!</definedName>
    <definedName name="Excel_BuiltIn_Print_Area_1_1" localSheetId="14">#REF!</definedName>
    <definedName name="Excel_BuiltIn_Print_Area_1_1" localSheetId="10">#REF!</definedName>
    <definedName name="Excel_BuiltIn_Print_Area_1_1" localSheetId="12">#REF!</definedName>
    <definedName name="Excel_BuiltIn_Print_Area_1_1" localSheetId="4">#REF!</definedName>
    <definedName name="Excel_BuiltIn_Print_Area_1_1">#REF!</definedName>
    <definedName name="Excel_BuiltIn_Print_Area_1_1_1" localSheetId="6">#REF!</definedName>
    <definedName name="Excel_BuiltIn_Print_Area_1_1_1" localSheetId="7">#REF!</definedName>
    <definedName name="Excel_BuiltIn_Print_Area_1_1_1" localSheetId="8">#REF!</definedName>
    <definedName name="Excel_BuiltIn_Print_Area_1_1_1" localSheetId="9">#REF!</definedName>
    <definedName name="Excel_BuiltIn_Print_Area_1_1_1" localSheetId="5">#REF!</definedName>
    <definedName name="Excel_BuiltIn_Print_Area_1_1_1" localSheetId="2">#REF!</definedName>
    <definedName name="Excel_BuiltIn_Print_Area_1_1_1" localSheetId="22">#REF!</definedName>
    <definedName name="Excel_BuiltIn_Print_Area_1_1_1" localSheetId="23">#REF!</definedName>
    <definedName name="Excel_BuiltIn_Print_Area_1_1_1" localSheetId="20">#REF!</definedName>
    <definedName name="Excel_BuiltIn_Print_Area_1_1_1" localSheetId="19">#REF!</definedName>
    <definedName name="Excel_BuiltIn_Print_Area_1_1_1" localSheetId="18">#REF!</definedName>
    <definedName name="Excel_BuiltIn_Print_Area_1_1_1" localSheetId="21">#REF!</definedName>
    <definedName name="Excel_BuiltIn_Print_Area_1_1_1" localSheetId="17">#REF!</definedName>
    <definedName name="Excel_BuiltIn_Print_Area_1_1_1" localSheetId="15">#REF!</definedName>
    <definedName name="Excel_BuiltIn_Print_Area_1_1_1" localSheetId="14">#REF!</definedName>
    <definedName name="Excel_BuiltIn_Print_Area_1_1_1" localSheetId="10">#REF!</definedName>
    <definedName name="Excel_BuiltIn_Print_Area_1_1_1" localSheetId="12">#REF!</definedName>
    <definedName name="Excel_BuiltIn_Print_Area_1_1_1" localSheetId="4">#REF!</definedName>
    <definedName name="Excel_BuiltIn_Print_Area_1_1_1">#REF!</definedName>
    <definedName name="Excel_BuiltIn_Print_Area_1_1_1_1" localSheetId="6">#REF!</definedName>
    <definedName name="Excel_BuiltIn_Print_Area_1_1_1_1" localSheetId="7">#REF!</definedName>
    <definedName name="Excel_BuiltIn_Print_Area_1_1_1_1" localSheetId="8">#REF!</definedName>
    <definedName name="Excel_BuiltIn_Print_Area_1_1_1_1" localSheetId="9">#REF!</definedName>
    <definedName name="Excel_BuiltIn_Print_Area_1_1_1_1" localSheetId="5">#REF!</definedName>
    <definedName name="Excel_BuiltIn_Print_Area_1_1_1_1" localSheetId="2">#REF!</definedName>
    <definedName name="Excel_BuiltIn_Print_Area_1_1_1_1" localSheetId="22">#REF!</definedName>
    <definedName name="Excel_BuiltIn_Print_Area_1_1_1_1" localSheetId="23">#REF!</definedName>
    <definedName name="Excel_BuiltIn_Print_Area_1_1_1_1" localSheetId="20">#REF!</definedName>
    <definedName name="Excel_BuiltIn_Print_Area_1_1_1_1" localSheetId="19">#REF!</definedName>
    <definedName name="Excel_BuiltIn_Print_Area_1_1_1_1" localSheetId="18">#REF!</definedName>
    <definedName name="Excel_BuiltIn_Print_Area_1_1_1_1" localSheetId="21">#REF!</definedName>
    <definedName name="Excel_BuiltIn_Print_Area_1_1_1_1" localSheetId="17">#REF!</definedName>
    <definedName name="Excel_BuiltIn_Print_Area_1_1_1_1" localSheetId="15">#REF!</definedName>
    <definedName name="Excel_BuiltIn_Print_Area_1_1_1_1" localSheetId="14">#REF!</definedName>
    <definedName name="Excel_BuiltIn_Print_Area_1_1_1_1" localSheetId="10">#REF!</definedName>
    <definedName name="Excel_BuiltIn_Print_Area_1_1_1_1" localSheetId="12">#REF!</definedName>
    <definedName name="Excel_BuiltIn_Print_Area_1_1_1_1" localSheetId="4">#REF!</definedName>
    <definedName name="Excel_BuiltIn_Print_Area_1_1_1_1">#REF!</definedName>
    <definedName name="Excel_BuiltIn_Print_Area_2" localSheetId="6">#REF!</definedName>
    <definedName name="Excel_BuiltIn_Print_Area_2" localSheetId="7">#REF!</definedName>
    <definedName name="Excel_BuiltIn_Print_Area_2" localSheetId="8">#REF!</definedName>
    <definedName name="Excel_BuiltIn_Print_Area_2" localSheetId="19">#REF!</definedName>
    <definedName name="Excel_BuiltIn_Print_Area_2" localSheetId="18">#REF!</definedName>
    <definedName name="Excel_BuiltIn_Print_Area_2" localSheetId="17">#REF!</definedName>
    <definedName name="Excel_BuiltIn_Print_Area_2">#REF!</definedName>
    <definedName name="Excel_BuiltIn_Print_Area_3_1" localSheetId="6">#REF!</definedName>
    <definedName name="Excel_BuiltIn_Print_Area_3_1" localSheetId="7">#REF!</definedName>
    <definedName name="Excel_BuiltIn_Print_Area_3_1" localSheetId="8">#REF!</definedName>
    <definedName name="Excel_BuiltIn_Print_Area_3_1" localSheetId="9">#REF!</definedName>
    <definedName name="Excel_BuiltIn_Print_Area_3_1" localSheetId="5">#REF!</definedName>
    <definedName name="Excel_BuiltIn_Print_Area_3_1" localSheetId="2">#REF!</definedName>
    <definedName name="Excel_BuiltIn_Print_Area_3_1" localSheetId="22">#REF!</definedName>
    <definedName name="Excel_BuiltIn_Print_Area_3_1" localSheetId="23">#REF!</definedName>
    <definedName name="Excel_BuiltIn_Print_Area_3_1" localSheetId="20">#REF!</definedName>
    <definedName name="Excel_BuiltIn_Print_Area_3_1" localSheetId="19">#REF!</definedName>
    <definedName name="Excel_BuiltIn_Print_Area_3_1" localSheetId="18">#REF!</definedName>
    <definedName name="Excel_BuiltIn_Print_Area_3_1" localSheetId="21">#REF!</definedName>
    <definedName name="Excel_BuiltIn_Print_Area_3_1" localSheetId="17">#REF!</definedName>
    <definedName name="Excel_BuiltIn_Print_Area_3_1" localSheetId="15">#REF!</definedName>
    <definedName name="Excel_BuiltIn_Print_Area_3_1" localSheetId="14">#REF!</definedName>
    <definedName name="Excel_BuiltIn_Print_Area_3_1" localSheetId="10">#REF!</definedName>
    <definedName name="Excel_BuiltIn_Print_Area_3_1" localSheetId="12">#REF!</definedName>
    <definedName name="Excel_BuiltIn_Print_Area_3_1" localSheetId="4">#REF!</definedName>
    <definedName name="Excel_BuiltIn_Print_Area_3_1">#REF!</definedName>
    <definedName name="Excel_BuiltIn_Print_Area_4_1" localSheetId="6">#REF!</definedName>
    <definedName name="Excel_BuiltIn_Print_Area_4_1" localSheetId="7">#REF!</definedName>
    <definedName name="Excel_BuiltIn_Print_Area_4_1" localSheetId="8">#REF!</definedName>
    <definedName name="Excel_BuiltIn_Print_Area_4_1" localSheetId="9">#REF!</definedName>
    <definedName name="Excel_BuiltIn_Print_Area_4_1" localSheetId="5">#REF!</definedName>
    <definedName name="Excel_BuiltIn_Print_Area_4_1" localSheetId="2">#REF!</definedName>
    <definedName name="Excel_BuiltIn_Print_Area_4_1" localSheetId="22">#REF!</definedName>
    <definedName name="Excel_BuiltIn_Print_Area_4_1" localSheetId="23">#REF!</definedName>
    <definedName name="Excel_BuiltIn_Print_Area_4_1" localSheetId="20">#REF!</definedName>
    <definedName name="Excel_BuiltIn_Print_Area_4_1" localSheetId="19">#REF!</definedName>
    <definedName name="Excel_BuiltIn_Print_Area_4_1" localSheetId="18">#REF!</definedName>
    <definedName name="Excel_BuiltIn_Print_Area_4_1" localSheetId="21">#REF!</definedName>
    <definedName name="Excel_BuiltIn_Print_Area_4_1" localSheetId="17">#REF!</definedName>
    <definedName name="Excel_BuiltIn_Print_Area_4_1" localSheetId="15">#REF!</definedName>
    <definedName name="Excel_BuiltIn_Print_Area_4_1" localSheetId="14">#REF!</definedName>
    <definedName name="Excel_BuiltIn_Print_Area_4_1" localSheetId="10">#REF!</definedName>
    <definedName name="Excel_BuiltIn_Print_Area_4_1" localSheetId="12">#REF!</definedName>
    <definedName name="Excel_BuiltIn_Print_Area_4_1" localSheetId="4">#REF!</definedName>
    <definedName name="Excel_BuiltIn_Print_Area_4_1">#REF!</definedName>
    <definedName name="Excel_BuiltIn_Print_Area_5" localSheetId="6">#REF!</definedName>
    <definedName name="Excel_BuiltIn_Print_Area_5" localSheetId="7">#REF!</definedName>
    <definedName name="Excel_BuiltIn_Print_Area_5" localSheetId="8">#REF!</definedName>
    <definedName name="Excel_BuiltIn_Print_Area_5" localSheetId="19">#REF!</definedName>
    <definedName name="Excel_BuiltIn_Print_Area_5" localSheetId="18">#REF!</definedName>
    <definedName name="Excel_BuiltIn_Print_Area_5" localSheetId="17">#REF!</definedName>
    <definedName name="Excel_BuiltIn_Print_Area_5">#REF!</definedName>
    <definedName name="Excel_BuiltIn_Print_Area_5_1" localSheetId="6">#REF!</definedName>
    <definedName name="Excel_BuiltIn_Print_Area_5_1" localSheetId="7">#REF!</definedName>
    <definedName name="Excel_BuiltIn_Print_Area_5_1" localSheetId="8">#REF!</definedName>
    <definedName name="Excel_BuiltIn_Print_Area_5_1" localSheetId="19">#REF!</definedName>
    <definedName name="Excel_BuiltIn_Print_Area_5_1" localSheetId="18">#REF!</definedName>
    <definedName name="Excel_BuiltIn_Print_Area_5_1" localSheetId="17">#REF!</definedName>
    <definedName name="Excel_BuiltIn_Print_Area_5_1">#REF!</definedName>
    <definedName name="Excel_BuiltIn_Print_Area_6" localSheetId="6">#REF!</definedName>
    <definedName name="Excel_BuiltIn_Print_Area_6" localSheetId="7">#REF!</definedName>
    <definedName name="Excel_BuiltIn_Print_Area_6" localSheetId="8">#REF!</definedName>
    <definedName name="Excel_BuiltIn_Print_Area_6" localSheetId="19">#REF!</definedName>
    <definedName name="Excel_BuiltIn_Print_Area_6" localSheetId="18">#REF!</definedName>
    <definedName name="Excel_BuiltIn_Print_Area_6" localSheetId="17">#REF!</definedName>
    <definedName name="Excel_BuiltIn_Print_Area_6">#REF!</definedName>
    <definedName name="Excel_BuiltIn_Print_Area_6_1" localSheetId="6">#REF!</definedName>
    <definedName name="Excel_BuiltIn_Print_Area_6_1" localSheetId="7">#REF!</definedName>
    <definedName name="Excel_BuiltIn_Print_Area_6_1" localSheetId="8">#REF!</definedName>
    <definedName name="Excel_BuiltIn_Print_Area_6_1" localSheetId="9">#REF!</definedName>
    <definedName name="Excel_BuiltIn_Print_Area_6_1" localSheetId="5">#REF!</definedName>
    <definedName name="Excel_BuiltIn_Print_Area_6_1" localSheetId="2">#REF!</definedName>
    <definedName name="Excel_BuiltIn_Print_Area_6_1" localSheetId="22">#REF!</definedName>
    <definedName name="Excel_BuiltIn_Print_Area_6_1" localSheetId="23">#REF!</definedName>
    <definedName name="Excel_BuiltIn_Print_Area_6_1" localSheetId="20">#REF!</definedName>
    <definedName name="Excel_BuiltIn_Print_Area_6_1" localSheetId="19">#REF!</definedName>
    <definedName name="Excel_BuiltIn_Print_Area_6_1" localSheetId="18">#REF!</definedName>
    <definedName name="Excel_BuiltIn_Print_Area_6_1" localSheetId="21">#REF!</definedName>
    <definedName name="Excel_BuiltIn_Print_Area_6_1" localSheetId="17">#REF!</definedName>
    <definedName name="Excel_BuiltIn_Print_Area_6_1" localSheetId="15">#REF!</definedName>
    <definedName name="Excel_BuiltIn_Print_Area_6_1" localSheetId="14">#REF!</definedName>
    <definedName name="Excel_BuiltIn_Print_Area_6_1" localSheetId="10">#REF!</definedName>
    <definedName name="Excel_BuiltIn_Print_Area_6_1" localSheetId="12">#REF!</definedName>
    <definedName name="Excel_BuiltIn_Print_Area_6_1" localSheetId="4">#REF!</definedName>
    <definedName name="Excel_BuiltIn_Print_Area_6_1">#REF!</definedName>
    <definedName name="Excel_BuiltIn_Print_Area_7_1" localSheetId="6">#REF!</definedName>
    <definedName name="Excel_BuiltIn_Print_Area_7_1" localSheetId="7">#REF!</definedName>
    <definedName name="Excel_BuiltIn_Print_Area_7_1" localSheetId="8">#REF!</definedName>
    <definedName name="Excel_BuiltIn_Print_Area_7_1" localSheetId="9">#REF!</definedName>
    <definedName name="Excel_BuiltIn_Print_Area_7_1" localSheetId="5">#REF!</definedName>
    <definedName name="Excel_BuiltIn_Print_Area_7_1" localSheetId="2">#REF!</definedName>
    <definedName name="Excel_BuiltIn_Print_Area_7_1" localSheetId="22">#REF!</definedName>
    <definedName name="Excel_BuiltIn_Print_Area_7_1" localSheetId="23">#REF!</definedName>
    <definedName name="Excel_BuiltIn_Print_Area_7_1" localSheetId="20">#REF!</definedName>
    <definedName name="Excel_BuiltIn_Print_Area_7_1" localSheetId="19">#REF!</definedName>
    <definedName name="Excel_BuiltIn_Print_Area_7_1" localSheetId="18">#REF!</definedName>
    <definedName name="Excel_BuiltIn_Print_Area_7_1" localSheetId="21">#REF!</definedName>
    <definedName name="Excel_BuiltIn_Print_Area_7_1" localSheetId="17">#REF!</definedName>
    <definedName name="Excel_BuiltIn_Print_Area_7_1" localSheetId="15">#REF!</definedName>
    <definedName name="Excel_BuiltIn_Print_Area_7_1" localSheetId="14">#REF!</definedName>
    <definedName name="Excel_BuiltIn_Print_Area_7_1" localSheetId="10">#REF!</definedName>
    <definedName name="Excel_BuiltIn_Print_Area_7_1" localSheetId="12">#REF!</definedName>
    <definedName name="Excel_BuiltIn_Print_Area_7_1" localSheetId="4">#REF!</definedName>
    <definedName name="Excel_BuiltIn_Print_Area_7_1">#REF!</definedName>
    <definedName name="Excel_BuiltIn_Print_Area_8_1" localSheetId="6">#REF!</definedName>
    <definedName name="Excel_BuiltIn_Print_Area_8_1" localSheetId="7">#REF!</definedName>
    <definedName name="Excel_BuiltIn_Print_Area_8_1" localSheetId="8">#REF!</definedName>
    <definedName name="Excel_BuiltIn_Print_Area_8_1" localSheetId="9">#REF!</definedName>
    <definedName name="Excel_BuiltIn_Print_Area_8_1" localSheetId="5">#REF!</definedName>
    <definedName name="Excel_BuiltIn_Print_Area_8_1" localSheetId="2">#REF!</definedName>
    <definedName name="Excel_BuiltIn_Print_Area_8_1" localSheetId="22">#REF!</definedName>
    <definedName name="Excel_BuiltIn_Print_Area_8_1" localSheetId="23">#REF!</definedName>
    <definedName name="Excel_BuiltIn_Print_Area_8_1" localSheetId="20">#REF!</definedName>
    <definedName name="Excel_BuiltIn_Print_Area_8_1" localSheetId="19">#REF!</definedName>
    <definedName name="Excel_BuiltIn_Print_Area_8_1" localSheetId="18">#REF!</definedName>
    <definedName name="Excel_BuiltIn_Print_Area_8_1" localSheetId="21">#REF!</definedName>
    <definedName name="Excel_BuiltIn_Print_Area_8_1" localSheetId="17">#REF!</definedName>
    <definedName name="Excel_BuiltIn_Print_Area_8_1" localSheetId="15">#REF!</definedName>
    <definedName name="Excel_BuiltIn_Print_Area_8_1" localSheetId="14">#REF!</definedName>
    <definedName name="Excel_BuiltIn_Print_Area_8_1" localSheetId="10">#REF!</definedName>
    <definedName name="Excel_BuiltIn_Print_Area_8_1" localSheetId="12">#REF!</definedName>
    <definedName name="Excel_BuiltIn_Print_Area_8_1" localSheetId="4">#REF!</definedName>
    <definedName name="Excel_BuiltIn_Print_Area_8_1">#REF!</definedName>
    <definedName name="Excel_BuiltIn_Print_Titles_1">"$#REF!.$A$1:$AMJ$5"</definedName>
    <definedName name="Excel_BuiltIn_Print_Titles_1_1" localSheetId="6">#REF!</definedName>
    <definedName name="Excel_BuiltIn_Print_Titles_1_1" localSheetId="7">#REF!</definedName>
    <definedName name="Excel_BuiltIn_Print_Titles_1_1" localSheetId="8">#REF!</definedName>
    <definedName name="Excel_BuiltIn_Print_Titles_1_1" localSheetId="9">#REF!</definedName>
    <definedName name="Excel_BuiltIn_Print_Titles_1_1" localSheetId="5">#REF!</definedName>
    <definedName name="Excel_BuiltIn_Print_Titles_1_1" localSheetId="2">#REF!</definedName>
    <definedName name="Excel_BuiltIn_Print_Titles_1_1" localSheetId="22">#REF!</definedName>
    <definedName name="Excel_BuiltIn_Print_Titles_1_1" localSheetId="23">#REF!</definedName>
    <definedName name="Excel_BuiltIn_Print_Titles_1_1" localSheetId="20">#REF!</definedName>
    <definedName name="Excel_BuiltIn_Print_Titles_1_1" localSheetId="19">#REF!</definedName>
    <definedName name="Excel_BuiltIn_Print_Titles_1_1" localSheetId="18">#REF!</definedName>
    <definedName name="Excel_BuiltIn_Print_Titles_1_1" localSheetId="21">#REF!</definedName>
    <definedName name="Excel_BuiltIn_Print_Titles_1_1" localSheetId="17">#REF!</definedName>
    <definedName name="Excel_BuiltIn_Print_Titles_1_1" localSheetId="15">#REF!</definedName>
    <definedName name="Excel_BuiltIn_Print_Titles_1_1" localSheetId="14">#REF!</definedName>
    <definedName name="Excel_BuiltIn_Print_Titles_1_1" localSheetId="10">#REF!</definedName>
    <definedName name="Excel_BuiltIn_Print_Titles_1_1" localSheetId="12">#REF!</definedName>
    <definedName name="Excel_BuiltIn_Print_Titles_1_1" localSheetId="4">#REF!</definedName>
    <definedName name="Excel_BuiltIn_Print_Titles_1_1">#REF!</definedName>
    <definedName name="Excel_BuiltIn_Print_Titles_1_1_1" localSheetId="6">#REF!</definedName>
    <definedName name="Excel_BuiltIn_Print_Titles_1_1_1" localSheetId="7">#REF!</definedName>
    <definedName name="Excel_BuiltIn_Print_Titles_1_1_1" localSheetId="8">#REF!</definedName>
    <definedName name="Excel_BuiltIn_Print_Titles_1_1_1" localSheetId="9">#REF!</definedName>
    <definedName name="Excel_BuiltIn_Print_Titles_1_1_1" localSheetId="5">#REF!</definedName>
    <definedName name="Excel_BuiltIn_Print_Titles_1_1_1" localSheetId="2">#REF!</definedName>
    <definedName name="Excel_BuiltIn_Print_Titles_1_1_1" localSheetId="22">#REF!</definedName>
    <definedName name="Excel_BuiltIn_Print_Titles_1_1_1" localSheetId="23">#REF!</definedName>
    <definedName name="Excel_BuiltIn_Print_Titles_1_1_1" localSheetId="20">#REF!</definedName>
    <definedName name="Excel_BuiltIn_Print_Titles_1_1_1" localSheetId="19">#REF!</definedName>
    <definedName name="Excel_BuiltIn_Print_Titles_1_1_1" localSheetId="18">#REF!</definedName>
    <definedName name="Excel_BuiltIn_Print_Titles_1_1_1" localSheetId="21">#REF!</definedName>
    <definedName name="Excel_BuiltIn_Print_Titles_1_1_1" localSheetId="17">#REF!</definedName>
    <definedName name="Excel_BuiltIn_Print_Titles_1_1_1" localSheetId="15">#REF!</definedName>
    <definedName name="Excel_BuiltIn_Print_Titles_1_1_1" localSheetId="14">#REF!</definedName>
    <definedName name="Excel_BuiltIn_Print_Titles_1_1_1" localSheetId="10">#REF!</definedName>
    <definedName name="Excel_BuiltIn_Print_Titles_1_1_1" localSheetId="12">#REF!</definedName>
    <definedName name="Excel_BuiltIn_Print_Titles_1_1_1" localSheetId="4">#REF!</definedName>
    <definedName name="Excel_BuiltIn_Print_Titles_1_1_1">#REF!</definedName>
    <definedName name="fdkewfjnewfnew" localSheetId="6">#REF!</definedName>
    <definedName name="fdkewfjnewfnew" localSheetId="7">#REF!</definedName>
    <definedName name="fdkewfjnewfnew" localSheetId="8">#REF!</definedName>
    <definedName name="fdkewfjnewfnew" localSheetId="9">#REF!</definedName>
    <definedName name="fdkewfjnewfnew" localSheetId="5">#REF!</definedName>
    <definedName name="fdkewfjnewfnew" localSheetId="2">#REF!</definedName>
    <definedName name="fdkewfjnewfnew" localSheetId="22">#REF!</definedName>
    <definedName name="fdkewfjnewfnew" localSheetId="23">#REF!</definedName>
    <definedName name="fdkewfjnewfnew" localSheetId="20">#REF!</definedName>
    <definedName name="fdkewfjnewfnew" localSheetId="19">#REF!</definedName>
    <definedName name="fdkewfjnewfnew" localSheetId="18">#REF!</definedName>
    <definedName name="fdkewfjnewfnew" localSheetId="21">#REF!</definedName>
    <definedName name="fdkewfjnewfnew" localSheetId="17">#REF!</definedName>
    <definedName name="fdkewfjnewfnew" localSheetId="15">#REF!</definedName>
    <definedName name="fdkewfjnewfnew" localSheetId="14">#REF!</definedName>
    <definedName name="fdkewfjnewfnew" localSheetId="10">#REF!</definedName>
    <definedName name="fdkewfjnewfnew" localSheetId="12">#REF!</definedName>
    <definedName name="fdkewfjnewfnew" localSheetId="4">#REF!</definedName>
    <definedName name="fdkewfjnewfnew">#REF!</definedName>
    <definedName name="jyfrmujyrm" localSheetId="6">#REF!</definedName>
    <definedName name="jyfrmujyrm" localSheetId="7">#REF!</definedName>
    <definedName name="jyfrmujyrm" localSheetId="8">#REF!</definedName>
    <definedName name="jyfrmujyrm" localSheetId="9">#REF!</definedName>
    <definedName name="jyfrmujyrm" localSheetId="5">#REF!</definedName>
    <definedName name="jyfrmujyrm" localSheetId="2">#REF!</definedName>
    <definedName name="jyfrmujyrm" localSheetId="22">#REF!</definedName>
    <definedName name="jyfrmujyrm" localSheetId="23">#REF!</definedName>
    <definedName name="jyfrmujyrm" localSheetId="20">#REF!</definedName>
    <definedName name="jyfrmujyrm" localSheetId="19">#REF!</definedName>
    <definedName name="jyfrmujyrm" localSheetId="18">#REF!</definedName>
    <definedName name="jyfrmujyrm" localSheetId="21">#REF!</definedName>
    <definedName name="jyfrmujyrm" localSheetId="17">#REF!</definedName>
    <definedName name="jyfrmujyrm" localSheetId="15">#REF!</definedName>
    <definedName name="jyfrmujyrm" localSheetId="14">#REF!</definedName>
    <definedName name="jyfrmujyrm" localSheetId="10">#REF!</definedName>
    <definedName name="jyfrmujyrm" localSheetId="12">#REF!</definedName>
    <definedName name="jyfrmujyrm" localSheetId="4">#REF!</definedName>
    <definedName name="jyfrmujyrm">#REF!</definedName>
    <definedName name="lista1" localSheetId="6">#REF!</definedName>
    <definedName name="lista1" localSheetId="7">#REF!</definedName>
    <definedName name="lista1" localSheetId="8">#REF!</definedName>
    <definedName name="lista1" localSheetId="9">#REF!</definedName>
    <definedName name="lista1" localSheetId="5">#REF!</definedName>
    <definedName name="lista1" localSheetId="2">#REF!</definedName>
    <definedName name="lista1" localSheetId="22">#REF!</definedName>
    <definedName name="lista1" localSheetId="23">#REF!</definedName>
    <definedName name="lista1" localSheetId="20">#REF!</definedName>
    <definedName name="lista1" localSheetId="19">#REF!</definedName>
    <definedName name="lista1" localSheetId="18">#REF!</definedName>
    <definedName name="lista1" localSheetId="21">#REF!</definedName>
    <definedName name="lista1" localSheetId="17">#REF!</definedName>
    <definedName name="lista1" localSheetId="15">#REF!</definedName>
    <definedName name="lista1" localSheetId="14">#REF!</definedName>
    <definedName name="lista1" localSheetId="10">#REF!</definedName>
    <definedName name="lista1" localSheetId="12">#REF!</definedName>
    <definedName name="lista1" localSheetId="4">#REF!</definedName>
    <definedName name="lista1">#REF!</definedName>
    <definedName name="lista2" localSheetId="6">#REF!</definedName>
    <definedName name="lista2" localSheetId="7">#REF!</definedName>
    <definedName name="lista2" localSheetId="8">#REF!</definedName>
    <definedName name="lista2" localSheetId="9">#REF!</definedName>
    <definedName name="lista2" localSheetId="5">#REF!</definedName>
    <definedName name="lista2" localSheetId="2">#REF!</definedName>
    <definedName name="lista2" localSheetId="22">#REF!</definedName>
    <definedName name="lista2" localSheetId="23">#REF!</definedName>
    <definedName name="lista2" localSheetId="20">#REF!</definedName>
    <definedName name="lista2" localSheetId="19">#REF!</definedName>
    <definedName name="lista2" localSheetId="18">#REF!</definedName>
    <definedName name="lista2" localSheetId="21">#REF!</definedName>
    <definedName name="lista2" localSheetId="17">#REF!</definedName>
    <definedName name="lista2" localSheetId="15">#REF!</definedName>
    <definedName name="lista2" localSheetId="14">#REF!</definedName>
    <definedName name="lista2" localSheetId="10">#REF!</definedName>
    <definedName name="lista2" localSheetId="12">#REF!</definedName>
    <definedName name="lista2" localSheetId="4">#REF!</definedName>
    <definedName name="lista2">#REF!</definedName>
    <definedName name="nome" localSheetId="6">#REF!</definedName>
    <definedName name="nome" localSheetId="7">#REF!</definedName>
    <definedName name="nome" localSheetId="8">#REF!</definedName>
    <definedName name="nome" localSheetId="9">#REF!</definedName>
    <definedName name="nome" localSheetId="5">#REF!</definedName>
    <definedName name="nome" localSheetId="2">#REF!</definedName>
    <definedName name="nome" localSheetId="22">#REF!</definedName>
    <definedName name="nome" localSheetId="23">#REF!</definedName>
    <definedName name="nome" localSheetId="20">#REF!</definedName>
    <definedName name="nome" localSheetId="19">#REF!</definedName>
    <definedName name="nome" localSheetId="18">#REF!</definedName>
    <definedName name="nome" localSheetId="21">#REF!</definedName>
    <definedName name="nome" localSheetId="17">#REF!</definedName>
    <definedName name="nome" localSheetId="15">#REF!</definedName>
    <definedName name="nome" localSheetId="14">#REF!</definedName>
    <definedName name="nome" localSheetId="10">#REF!</definedName>
    <definedName name="nome" localSheetId="12">#REF!</definedName>
    <definedName name="nome" localSheetId="4">#REF!</definedName>
    <definedName name="nome">#REF!</definedName>
    <definedName name="PPPAs" localSheetId="6">#REF!</definedName>
    <definedName name="PPPAs" localSheetId="7">#REF!</definedName>
    <definedName name="PPPAs" localSheetId="8">#REF!</definedName>
    <definedName name="PPPAs" localSheetId="9">#REF!</definedName>
    <definedName name="PPPAs" localSheetId="5">#REF!</definedName>
    <definedName name="PPPAs" localSheetId="2">#REF!</definedName>
    <definedName name="PPPAs" localSheetId="22">#REF!</definedName>
    <definedName name="PPPAs" localSheetId="23">#REF!</definedName>
    <definedName name="PPPAs" localSheetId="20">#REF!</definedName>
    <definedName name="PPPAs" localSheetId="19">#REF!</definedName>
    <definedName name="PPPAs" localSheetId="18">#REF!</definedName>
    <definedName name="PPPAs" localSheetId="21">#REF!</definedName>
    <definedName name="PPPAs" localSheetId="17">#REF!</definedName>
    <definedName name="PPPAs" localSheetId="15">#REF!</definedName>
    <definedName name="PPPAs" localSheetId="14">#REF!</definedName>
    <definedName name="PPPAs" localSheetId="10">#REF!</definedName>
    <definedName name="PPPAs" localSheetId="12">#REF!</definedName>
    <definedName name="PPPAs" localSheetId="4">#REF!</definedName>
    <definedName name="PPPAs">#REF!</definedName>
    <definedName name="res" localSheetId="6">#REF!</definedName>
    <definedName name="res" localSheetId="7">#REF!</definedName>
    <definedName name="res" localSheetId="8">#REF!</definedName>
    <definedName name="res" localSheetId="9">#REF!</definedName>
    <definedName name="res" localSheetId="5">#REF!</definedName>
    <definedName name="res" localSheetId="2">#REF!</definedName>
    <definedName name="res" localSheetId="22">#REF!</definedName>
    <definedName name="res" localSheetId="23">#REF!</definedName>
    <definedName name="res" localSheetId="20">#REF!</definedName>
    <definedName name="res" localSheetId="19">#REF!</definedName>
    <definedName name="res" localSheetId="18">#REF!</definedName>
    <definedName name="res" localSheetId="21">#REF!</definedName>
    <definedName name="res" localSheetId="17">#REF!</definedName>
    <definedName name="res" localSheetId="15">#REF!</definedName>
    <definedName name="res" localSheetId="14">#REF!</definedName>
    <definedName name="res" localSheetId="10">#REF!</definedName>
    <definedName name="res" localSheetId="12">#REF!</definedName>
    <definedName name="res" localSheetId="4">#REF!</definedName>
    <definedName name="res">#REF!</definedName>
    <definedName name="resumo" localSheetId="6">#REF!</definedName>
    <definedName name="resumo" localSheetId="7">#REF!</definedName>
    <definedName name="resumo" localSheetId="8">#REF!</definedName>
    <definedName name="resumo" localSheetId="9">#REF!</definedName>
    <definedName name="resumo" localSheetId="5">#REF!</definedName>
    <definedName name="resumo" localSheetId="2">#REF!</definedName>
    <definedName name="resumo" localSheetId="22">#REF!</definedName>
    <definedName name="resumo" localSheetId="23">#REF!</definedName>
    <definedName name="resumo" localSheetId="20">#REF!</definedName>
    <definedName name="resumo" localSheetId="19">#REF!</definedName>
    <definedName name="resumo" localSheetId="18">#REF!</definedName>
    <definedName name="resumo" localSheetId="21">#REF!</definedName>
    <definedName name="resumo" localSheetId="17">#REF!</definedName>
    <definedName name="resumo" localSheetId="15">#REF!</definedName>
    <definedName name="resumo" localSheetId="14">#REF!</definedName>
    <definedName name="resumo" localSheetId="10">#REF!</definedName>
    <definedName name="resumo" localSheetId="12">#REF!</definedName>
    <definedName name="resumo" localSheetId="4">#REF!</definedName>
    <definedName name="resumo">#REF!</definedName>
    <definedName name="sad" localSheetId="6">#REF!</definedName>
    <definedName name="sad" localSheetId="7">#REF!</definedName>
    <definedName name="sad" localSheetId="8">#REF!</definedName>
    <definedName name="sad" localSheetId="19">#REF!</definedName>
    <definedName name="sad" localSheetId="18">#REF!</definedName>
    <definedName name="sad" localSheetId="17">#REF!</definedName>
    <definedName name="sad">#REF!</definedName>
    <definedName name="sdsd" localSheetId="6">#REF!</definedName>
    <definedName name="sdsd" localSheetId="7">#REF!</definedName>
    <definedName name="sdsd" localSheetId="8">#REF!</definedName>
    <definedName name="sdsd" localSheetId="9">#REF!</definedName>
    <definedName name="sdsd" localSheetId="5">#REF!</definedName>
    <definedName name="sdsd" localSheetId="2">#REF!</definedName>
    <definedName name="sdsd" localSheetId="22">#REF!</definedName>
    <definedName name="sdsd" localSheetId="23">#REF!</definedName>
    <definedName name="sdsd" localSheetId="20">#REF!</definedName>
    <definedName name="sdsd" localSheetId="19">#REF!</definedName>
    <definedName name="sdsd" localSheetId="18">#REF!</definedName>
    <definedName name="sdsd" localSheetId="21">#REF!</definedName>
    <definedName name="sdsd" localSheetId="17">#REF!</definedName>
    <definedName name="sdsd" localSheetId="15">#REF!</definedName>
    <definedName name="sdsd" localSheetId="14">#REF!</definedName>
    <definedName name="sdsd" localSheetId="10">#REF!</definedName>
    <definedName name="sdsd" localSheetId="12">#REF!</definedName>
    <definedName name="sdsd" localSheetId="4">#REF!</definedName>
    <definedName name="sdsd">#REF!</definedName>
    <definedName name="Telefonista_VAZIA" localSheetId="6">#REF!</definedName>
    <definedName name="Telefonista_VAZIA" localSheetId="7">#REF!</definedName>
    <definedName name="Telefonista_VAZIA" localSheetId="8">#REF!</definedName>
    <definedName name="Telefonista_VAZIA" localSheetId="9">#REF!</definedName>
    <definedName name="Telefonista_VAZIA" localSheetId="5">#REF!</definedName>
    <definedName name="Telefonista_VAZIA" localSheetId="2">#REF!</definedName>
    <definedName name="Telefonista_VAZIA" localSheetId="22">#REF!</definedName>
    <definedName name="Telefonista_VAZIA" localSheetId="23">#REF!</definedName>
    <definedName name="Telefonista_VAZIA" localSheetId="20">#REF!</definedName>
    <definedName name="Telefonista_VAZIA" localSheetId="19">#REF!</definedName>
    <definedName name="Telefonista_VAZIA" localSheetId="18">#REF!</definedName>
    <definedName name="Telefonista_VAZIA" localSheetId="21">#REF!</definedName>
    <definedName name="Telefonista_VAZIA" localSheetId="17">#REF!</definedName>
    <definedName name="Telefonista_VAZIA" localSheetId="15">#REF!</definedName>
    <definedName name="Telefonista_VAZIA" localSheetId="14">#REF!</definedName>
    <definedName name="Telefonista_VAZIA" localSheetId="10">#REF!</definedName>
    <definedName name="Telefonista_VAZIA" localSheetId="12">#REF!</definedName>
    <definedName name="Telefonista_VAZIA" localSheetId="4">#REF!</definedName>
    <definedName name="Telefonista_VAZIA">#REF!</definedName>
    <definedName name="Teste" localSheetId="6">#REF!</definedName>
    <definedName name="Teste" localSheetId="7">#REF!</definedName>
    <definedName name="Teste" localSheetId="8">#REF!</definedName>
    <definedName name="Teste" localSheetId="9">#REF!</definedName>
    <definedName name="teste" localSheetId="5">#REF!</definedName>
    <definedName name="Teste" localSheetId="2">#REF!</definedName>
    <definedName name="teste" localSheetId="22">#REF!</definedName>
    <definedName name="teste" localSheetId="23">#REF!</definedName>
    <definedName name="Teste" localSheetId="20">#REF!</definedName>
    <definedName name="Teste" localSheetId="19">#REF!</definedName>
    <definedName name="Teste" localSheetId="18">#REF!</definedName>
    <definedName name="Teste" localSheetId="21">#REF!</definedName>
    <definedName name="Teste" localSheetId="17">#REF!</definedName>
    <definedName name="Teste" localSheetId="15">#REF!</definedName>
    <definedName name="teste" localSheetId="14">#REF!</definedName>
    <definedName name="Teste" localSheetId="10">#REF!</definedName>
    <definedName name="Teste" localSheetId="12">#REF!</definedName>
    <definedName name="Teste" localSheetId="4">#REF!</definedName>
    <definedName name="Test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 i="158" l="1"/>
  <c r="L8" i="138"/>
  <c r="H23" i="84"/>
  <c r="L8" i="84"/>
  <c r="H12" i="84"/>
  <c r="H11" i="84"/>
  <c r="K6" i="158"/>
  <c r="K7" i="158"/>
  <c r="K5" i="158"/>
  <c r="J6" i="158"/>
  <c r="J7" i="158"/>
  <c r="J5" i="158"/>
  <c r="I6" i="158"/>
  <c r="I7" i="158"/>
  <c r="I5" i="158"/>
  <c r="F5" i="158"/>
  <c r="F6" i="158"/>
  <c r="F7" i="158"/>
  <c r="E72" i="176"/>
  <c r="E13" i="176"/>
  <c r="E36" i="176" s="1"/>
  <c r="B2" i="176"/>
  <c r="B2" i="175"/>
  <c r="E72" i="175"/>
  <c r="E13" i="175"/>
  <c r="E36" i="175" s="1"/>
  <c r="E72" i="174"/>
  <c r="E13" i="174"/>
  <c r="E36" i="174" s="1"/>
  <c r="B2" i="174"/>
  <c r="V55" i="173"/>
  <c r="V56" i="173" s="1"/>
  <c r="V57" i="173" s="1"/>
  <c r="V58" i="173" s="1"/>
  <c r="S49" i="173"/>
  <c r="O49" i="173"/>
  <c r="N49" i="173"/>
  <c r="S48" i="173"/>
  <c r="O48" i="173"/>
  <c r="N48" i="173"/>
  <c r="S47" i="173"/>
  <c r="O47" i="173"/>
  <c r="N47" i="173"/>
  <c r="S46" i="173"/>
  <c r="O46" i="173"/>
  <c r="N46" i="173"/>
  <c r="T46" i="173" s="1"/>
  <c r="S45" i="173"/>
  <c r="O45" i="173"/>
  <c r="N45" i="173"/>
  <c r="S44" i="173"/>
  <c r="O44" i="173"/>
  <c r="Q44" i="173" s="1"/>
  <c r="N44" i="173"/>
  <c r="S43" i="173"/>
  <c r="O43" i="173"/>
  <c r="N43" i="173"/>
  <c r="S42" i="173"/>
  <c r="O42" i="173"/>
  <c r="N42" i="173"/>
  <c r="T42" i="173" s="1"/>
  <c r="S41" i="173"/>
  <c r="O41" i="173"/>
  <c r="N41" i="173"/>
  <c r="S40" i="173"/>
  <c r="O40" i="173"/>
  <c r="Q40" i="173" s="1"/>
  <c r="N40" i="173"/>
  <c r="S39" i="173"/>
  <c r="O39" i="173"/>
  <c r="N39" i="173"/>
  <c r="S38" i="173"/>
  <c r="O38" i="173"/>
  <c r="N38" i="173"/>
  <c r="T38" i="173" s="1"/>
  <c r="S37" i="173"/>
  <c r="O37" i="173"/>
  <c r="N37" i="173"/>
  <c r="S36" i="173"/>
  <c r="O36" i="173"/>
  <c r="Q36" i="173" s="1"/>
  <c r="N36" i="173"/>
  <c r="S35" i="173"/>
  <c r="O35" i="173"/>
  <c r="N35" i="173"/>
  <c r="S34" i="173"/>
  <c r="O34" i="173"/>
  <c r="N34" i="173"/>
  <c r="T34" i="173" s="1"/>
  <c r="S33" i="173"/>
  <c r="O33" i="173"/>
  <c r="N33" i="173"/>
  <c r="S32" i="173"/>
  <c r="O32" i="173"/>
  <c r="N32" i="173"/>
  <c r="S31" i="173"/>
  <c r="O31" i="173"/>
  <c r="N31" i="173"/>
  <c r="S30" i="173"/>
  <c r="Q30" i="173"/>
  <c r="O30" i="173"/>
  <c r="N30" i="173"/>
  <c r="T30" i="173" s="1"/>
  <c r="S29" i="173"/>
  <c r="Q29" i="173"/>
  <c r="T29" i="173"/>
  <c r="O29" i="173"/>
  <c r="N29" i="173"/>
  <c r="S28" i="173"/>
  <c r="O28" i="173"/>
  <c r="N28" i="173"/>
  <c r="S27" i="173"/>
  <c r="O27" i="173"/>
  <c r="N27" i="173"/>
  <c r="S26" i="173"/>
  <c r="Q26" i="173"/>
  <c r="O26" i="173"/>
  <c r="N26" i="173"/>
  <c r="T26" i="173" s="1"/>
  <c r="S25" i="173"/>
  <c r="Q25" i="173"/>
  <c r="T25" i="173"/>
  <c r="O25" i="173"/>
  <c r="N25" i="173"/>
  <c r="S24" i="173"/>
  <c r="O24" i="173"/>
  <c r="N24" i="173"/>
  <c r="S23" i="173"/>
  <c r="O23" i="173"/>
  <c r="N23" i="173"/>
  <c r="S22" i="173"/>
  <c r="Q22" i="173"/>
  <c r="O22" i="173"/>
  <c r="N22" i="173"/>
  <c r="T22" i="173" s="1"/>
  <c r="S21" i="173"/>
  <c r="Q21" i="173"/>
  <c r="T21" i="173"/>
  <c r="O21" i="173"/>
  <c r="N21" i="173"/>
  <c r="S20" i="173"/>
  <c r="O20" i="173"/>
  <c r="N20" i="173"/>
  <c r="S19" i="173"/>
  <c r="O19" i="173"/>
  <c r="N19" i="173"/>
  <c r="S18" i="173"/>
  <c r="Q18" i="173"/>
  <c r="O18" i="173"/>
  <c r="N18" i="173"/>
  <c r="T18" i="173" s="1"/>
  <c r="S17" i="173"/>
  <c r="Q17" i="173"/>
  <c r="T17" i="173"/>
  <c r="O17" i="173"/>
  <c r="N17" i="173"/>
  <c r="S16" i="173"/>
  <c r="O16" i="173"/>
  <c r="N16" i="173"/>
  <c r="S15" i="173"/>
  <c r="Q15" i="173"/>
  <c r="O15" i="173"/>
  <c r="N15" i="173"/>
  <c r="S14" i="173"/>
  <c r="Q14" i="173"/>
  <c r="T14" i="173"/>
  <c r="O14" i="173"/>
  <c r="N14" i="173"/>
  <c r="X13" i="173"/>
  <c r="S13" i="173"/>
  <c r="T13" i="173"/>
  <c r="O13" i="173"/>
  <c r="N13" i="173"/>
  <c r="S12" i="173"/>
  <c r="O12" i="173"/>
  <c r="N12" i="173"/>
  <c r="S11" i="173"/>
  <c r="N11" i="173"/>
  <c r="K11" i="173"/>
  <c r="J11" i="173"/>
  <c r="I11" i="173"/>
  <c r="O11" i="173" s="1"/>
  <c r="S10" i="173"/>
  <c r="T10" i="173"/>
  <c r="O10" i="173"/>
  <c r="N10" i="173"/>
  <c r="S9" i="173"/>
  <c r="O9" i="173"/>
  <c r="N9" i="173"/>
  <c r="T8" i="173"/>
  <c r="S8" i="173"/>
  <c r="O8" i="173"/>
  <c r="N8" i="173"/>
  <c r="Q8" i="173" s="1"/>
  <c r="S7" i="173"/>
  <c r="O7" i="173"/>
  <c r="N7" i="173"/>
  <c r="T7" i="173" s="1"/>
  <c r="B7" i="173"/>
  <c r="B8" i="173" s="1"/>
  <c r="B9" i="173" s="1"/>
  <c r="B10" i="173" s="1"/>
  <c r="B11" i="173" s="1"/>
  <c r="B12" i="173" s="1"/>
  <c r="B13" i="173" s="1"/>
  <c r="B14" i="173" s="1"/>
  <c r="B15" i="173" s="1"/>
  <c r="B16" i="173" s="1"/>
  <c r="B17" i="173" s="1"/>
  <c r="B18" i="173" s="1"/>
  <c r="B19" i="173" s="1"/>
  <c r="B20" i="173" s="1"/>
  <c r="B21" i="173" s="1"/>
  <c r="B22" i="173" s="1"/>
  <c r="B23" i="173" s="1"/>
  <c r="B24" i="173" s="1"/>
  <c r="B25" i="173" s="1"/>
  <c r="B26" i="173" s="1"/>
  <c r="B27" i="173" s="1"/>
  <c r="B28" i="173" s="1"/>
  <c r="B29" i="173" s="1"/>
  <c r="B30" i="173" s="1"/>
  <c r="B31" i="173" s="1"/>
  <c r="B32" i="173" s="1"/>
  <c r="B33" i="173" s="1"/>
  <c r="B34" i="173" s="1"/>
  <c r="B35" i="173" s="1"/>
  <c r="B36" i="173" s="1"/>
  <c r="B37" i="173" s="1"/>
  <c r="B38" i="173" s="1"/>
  <c r="B39" i="173" s="1"/>
  <c r="B40" i="173" s="1"/>
  <c r="B41" i="173" s="1"/>
  <c r="B42" i="173" s="1"/>
  <c r="B43" i="173" s="1"/>
  <c r="B44" i="173" s="1"/>
  <c r="B45" i="173" s="1"/>
  <c r="B46" i="173" s="1"/>
  <c r="B47" i="173" s="1"/>
  <c r="S6" i="173"/>
  <c r="T6" i="173"/>
  <c r="O6" i="173"/>
  <c r="N6" i="173"/>
  <c r="B6" i="173"/>
  <c r="S5" i="173"/>
  <c r="O5" i="173"/>
  <c r="N5" i="173"/>
  <c r="B5" i="173"/>
  <c r="S4" i="173"/>
  <c r="O4" i="173"/>
  <c r="N4" i="173"/>
  <c r="Q4" i="173" s="1"/>
  <c r="X13" i="161"/>
  <c r="I26" i="121"/>
  <c r="I13" i="121"/>
  <c r="J15" i="84"/>
  <c r="V55" i="161"/>
  <c r="V56" i="161" s="1"/>
  <c r="V57" i="161" s="1"/>
  <c r="V58" i="161" s="1"/>
  <c r="E35" i="176" l="1"/>
  <c r="E45" i="176"/>
  <c r="E55" i="176"/>
  <c r="E39" i="176"/>
  <c r="E53" i="176"/>
  <c r="E64" i="176"/>
  <c r="E40" i="176"/>
  <c r="E60" i="176"/>
  <c r="E27" i="176"/>
  <c r="E30" i="176"/>
  <c r="E34" i="176"/>
  <c r="E50" i="176"/>
  <c r="E54" i="176"/>
  <c r="E59" i="176"/>
  <c r="E63" i="176"/>
  <c r="E17" i="176"/>
  <c r="E31" i="176"/>
  <c r="E32" i="176"/>
  <c r="E41" i="176"/>
  <c r="E46" i="176"/>
  <c r="E51" i="176"/>
  <c r="E58" i="176"/>
  <c r="E42" i="176"/>
  <c r="E61" i="176"/>
  <c r="E62" i="176"/>
  <c r="E29" i="176"/>
  <c r="E33" i="176"/>
  <c r="E52" i="176"/>
  <c r="E35" i="175"/>
  <c r="E55" i="175"/>
  <c r="E58" i="175"/>
  <c r="E39" i="175"/>
  <c r="E51" i="175"/>
  <c r="E64" i="175"/>
  <c r="E42" i="175"/>
  <c r="E60" i="175"/>
  <c r="E27" i="175"/>
  <c r="E30" i="175"/>
  <c r="E34" i="175"/>
  <c r="E59" i="175"/>
  <c r="E63" i="175"/>
  <c r="E40" i="175"/>
  <c r="E45" i="175"/>
  <c r="E53" i="175"/>
  <c r="E32" i="175"/>
  <c r="E41" i="175"/>
  <c r="E46" i="175"/>
  <c r="E50" i="175"/>
  <c r="E54" i="175"/>
  <c r="E61" i="175"/>
  <c r="E17" i="175"/>
  <c r="E31" i="175"/>
  <c r="E62" i="175"/>
  <c r="E29" i="175"/>
  <c r="E33" i="175"/>
  <c r="E52" i="175"/>
  <c r="E58" i="174"/>
  <c r="E39" i="174"/>
  <c r="E51" i="174"/>
  <c r="E64" i="174"/>
  <c r="E35" i="174"/>
  <c r="E45" i="174"/>
  <c r="E55" i="174"/>
  <c r="E40" i="174"/>
  <c r="E60" i="174"/>
  <c r="E27" i="174"/>
  <c r="E42" i="174"/>
  <c r="E50" i="174"/>
  <c r="E59" i="174"/>
  <c r="E61" i="174"/>
  <c r="E63" i="174"/>
  <c r="E17" i="174"/>
  <c r="E31" i="174"/>
  <c r="E53" i="174"/>
  <c r="E62" i="174"/>
  <c r="E30" i="174"/>
  <c r="E32" i="174"/>
  <c r="E41" i="174"/>
  <c r="E46" i="174"/>
  <c r="E47" i="174" s="1"/>
  <c r="E34" i="174"/>
  <c r="E54" i="174"/>
  <c r="E29" i="174"/>
  <c r="E33" i="174"/>
  <c r="E52" i="174"/>
  <c r="Q5" i="173"/>
  <c r="T5" i="173"/>
  <c r="Q9" i="173"/>
  <c r="T9" i="173"/>
  <c r="Q12" i="173"/>
  <c r="T12" i="173"/>
  <c r="Q20" i="173"/>
  <c r="T20" i="173"/>
  <c r="Q16" i="173"/>
  <c r="T16" i="173"/>
  <c r="Q32" i="173"/>
  <c r="T32" i="173"/>
  <c r="Q28" i="173"/>
  <c r="T28" i="173"/>
  <c r="Q24" i="173"/>
  <c r="T24" i="173"/>
  <c r="T41" i="173"/>
  <c r="Q41" i="173"/>
  <c r="T45" i="173"/>
  <c r="Q45" i="173"/>
  <c r="T48" i="173"/>
  <c r="Q48" i="173"/>
  <c r="Q49" i="173"/>
  <c r="T49" i="173"/>
  <c r="Q13" i="173"/>
  <c r="Q35" i="173"/>
  <c r="T35" i="173"/>
  <c r="Q39" i="173"/>
  <c r="T39" i="173"/>
  <c r="Q43" i="173"/>
  <c r="T43" i="173"/>
  <c r="Q47" i="173"/>
  <c r="T47" i="173"/>
  <c r="S50" i="173"/>
  <c r="Q6" i="173"/>
  <c r="Q10" i="173"/>
  <c r="T33" i="173"/>
  <c r="Q33" i="173"/>
  <c r="T37" i="173"/>
  <c r="Q37" i="173"/>
  <c r="T4" i="173"/>
  <c r="Q7" i="173"/>
  <c r="Q34" i="173"/>
  <c r="T36" i="173"/>
  <c r="Q38" i="173"/>
  <c r="T40" i="173"/>
  <c r="Q42" i="173"/>
  <c r="T44" i="173"/>
  <c r="Q46" i="173"/>
  <c r="E14" i="84"/>
  <c r="G9" i="84"/>
  <c r="E7" i="84"/>
  <c r="E69" i="172"/>
  <c r="B2" i="172"/>
  <c r="E72" i="172"/>
  <c r="D64" i="172"/>
  <c r="D63" i="172"/>
  <c r="D61" i="172"/>
  <c r="D60" i="172"/>
  <c r="D59" i="172"/>
  <c r="D58" i="172"/>
  <c r="D55" i="172"/>
  <c r="D54" i="172"/>
  <c r="D51" i="172"/>
  <c r="D53" i="172" s="1"/>
  <c r="D50" i="172"/>
  <c r="D45" i="172"/>
  <c r="D40" i="172"/>
  <c r="D39" i="172"/>
  <c r="D37" i="172"/>
  <c r="D35" i="172"/>
  <c r="E26" i="172"/>
  <c r="E22" i="172"/>
  <c r="E20" i="172"/>
  <c r="E22" i="171"/>
  <c r="N5" i="161"/>
  <c r="O5" i="161"/>
  <c r="P5" i="161"/>
  <c r="N6" i="161"/>
  <c r="P6" i="161" s="1"/>
  <c r="O6" i="161"/>
  <c r="N7" i="161"/>
  <c r="P7" i="161" s="1"/>
  <c r="O7" i="161"/>
  <c r="N8" i="161"/>
  <c r="O8" i="161"/>
  <c r="P8" i="161"/>
  <c r="N9" i="161"/>
  <c r="O9" i="161"/>
  <c r="P9" i="161"/>
  <c r="N10" i="161"/>
  <c r="P10" i="161" s="1"/>
  <c r="O10" i="161"/>
  <c r="N11" i="161"/>
  <c r="P11" i="161" s="1"/>
  <c r="O11" i="161"/>
  <c r="N12" i="161"/>
  <c r="O12" i="161"/>
  <c r="P12" i="161"/>
  <c r="N13" i="161"/>
  <c r="O13" i="161"/>
  <c r="P13" i="161"/>
  <c r="N14" i="161"/>
  <c r="P14" i="161" s="1"/>
  <c r="O14" i="161"/>
  <c r="N15" i="161"/>
  <c r="P15" i="161" s="1"/>
  <c r="O15" i="161"/>
  <c r="N16" i="161"/>
  <c r="O16" i="161"/>
  <c r="P16" i="161"/>
  <c r="N17" i="161"/>
  <c r="O17" i="161"/>
  <c r="P17" i="161"/>
  <c r="N18" i="161"/>
  <c r="P18" i="161" s="1"/>
  <c r="O18" i="161"/>
  <c r="N19" i="161"/>
  <c r="P19" i="161" s="1"/>
  <c r="O19" i="161"/>
  <c r="N20" i="161"/>
  <c r="O20" i="161"/>
  <c r="P20" i="161"/>
  <c r="N21" i="161"/>
  <c r="O21" i="161"/>
  <c r="P21" i="161"/>
  <c r="N22" i="161"/>
  <c r="P22" i="161" s="1"/>
  <c r="O22" i="161"/>
  <c r="N23" i="161"/>
  <c r="P23" i="161" s="1"/>
  <c r="O23" i="161"/>
  <c r="N24" i="161"/>
  <c r="O24" i="161"/>
  <c r="P24" i="161"/>
  <c r="N25" i="161"/>
  <c r="O25" i="161"/>
  <c r="P25" i="161"/>
  <c r="N26" i="161"/>
  <c r="P26" i="161" s="1"/>
  <c r="O26" i="161"/>
  <c r="N27" i="161"/>
  <c r="P27" i="161" s="1"/>
  <c r="O27" i="161"/>
  <c r="N28" i="161"/>
  <c r="O28" i="161"/>
  <c r="P28" i="161"/>
  <c r="N29" i="161"/>
  <c r="O29" i="161"/>
  <c r="P29" i="161"/>
  <c r="N30" i="161"/>
  <c r="P30" i="161" s="1"/>
  <c r="O30" i="161"/>
  <c r="N31" i="161"/>
  <c r="P31" i="161" s="1"/>
  <c r="O31" i="161"/>
  <c r="N32" i="161"/>
  <c r="O32" i="161"/>
  <c r="P32" i="161"/>
  <c r="N33" i="161"/>
  <c r="O33" i="161"/>
  <c r="P33" i="161"/>
  <c r="N34" i="161"/>
  <c r="P34" i="161" s="1"/>
  <c r="O34" i="161"/>
  <c r="N35" i="161"/>
  <c r="P35" i="161" s="1"/>
  <c r="O35" i="161"/>
  <c r="N36" i="161"/>
  <c r="O36" i="161"/>
  <c r="P36" i="161"/>
  <c r="N37" i="161"/>
  <c r="O37" i="161"/>
  <c r="P37" i="161"/>
  <c r="N38" i="161"/>
  <c r="P38" i="161" s="1"/>
  <c r="O38" i="161"/>
  <c r="N39" i="161"/>
  <c r="P39" i="161" s="1"/>
  <c r="O39" i="161"/>
  <c r="N40" i="161"/>
  <c r="O40" i="161"/>
  <c r="P40" i="161"/>
  <c r="N41" i="161"/>
  <c r="O41" i="161"/>
  <c r="P41" i="161"/>
  <c r="N42" i="161"/>
  <c r="P42" i="161" s="1"/>
  <c r="O42" i="161"/>
  <c r="N43" i="161"/>
  <c r="P43" i="161" s="1"/>
  <c r="O43" i="161"/>
  <c r="N44" i="161"/>
  <c r="O44" i="161"/>
  <c r="P44" i="161"/>
  <c r="N45" i="161"/>
  <c r="O45" i="161"/>
  <c r="P45" i="161"/>
  <c r="N46" i="161"/>
  <c r="P46" i="161" s="1"/>
  <c r="O46" i="161"/>
  <c r="N47" i="161"/>
  <c r="P47" i="161" s="1"/>
  <c r="O47" i="161"/>
  <c r="N48" i="161"/>
  <c r="O48" i="161"/>
  <c r="P48" i="161"/>
  <c r="N49" i="161"/>
  <c r="O49" i="161"/>
  <c r="P49" i="161"/>
  <c r="O4" i="161"/>
  <c r="N4" i="161"/>
  <c r="E69" i="171"/>
  <c r="E72" i="171" s="1"/>
  <c r="B2" i="171"/>
  <c r="D64" i="171"/>
  <c r="D63" i="171"/>
  <c r="D61" i="171"/>
  <c r="D60" i="171"/>
  <c r="D59" i="171"/>
  <c r="D58" i="171"/>
  <c r="D55" i="171"/>
  <c r="D54" i="171"/>
  <c r="D51" i="171"/>
  <c r="D53" i="171" s="1"/>
  <c r="D50" i="171"/>
  <c r="D45" i="171"/>
  <c r="D40" i="171"/>
  <c r="D39" i="171"/>
  <c r="D37" i="171"/>
  <c r="D35" i="171"/>
  <c r="E26" i="171"/>
  <c r="E20" i="171"/>
  <c r="E69" i="170"/>
  <c r="E72" i="170" s="1"/>
  <c r="E22" i="170"/>
  <c r="E20" i="170"/>
  <c r="B2" i="170"/>
  <c r="D64" i="170"/>
  <c r="D63" i="170"/>
  <c r="D61" i="170"/>
  <c r="D60" i="170"/>
  <c r="D59" i="170"/>
  <c r="D58" i="170"/>
  <c r="D55" i="170"/>
  <c r="D54" i="170"/>
  <c r="D51" i="170"/>
  <c r="D50" i="170"/>
  <c r="D53" i="170" s="1"/>
  <c r="D45" i="170"/>
  <c r="D40" i="170"/>
  <c r="D39" i="170"/>
  <c r="D35" i="170"/>
  <c r="E26" i="170"/>
  <c r="F17" i="165"/>
  <c r="E6" i="170" s="1"/>
  <c r="I4" i="83" s="1"/>
  <c r="H30" i="95"/>
  <c r="H31" i="95"/>
  <c r="H29" i="95"/>
  <c r="E21" i="170" l="1"/>
  <c r="E27" i="170" s="1"/>
  <c r="E47" i="176"/>
  <c r="E43" i="176"/>
  <c r="E37" i="176"/>
  <c r="E56" i="176"/>
  <c r="E47" i="175"/>
  <c r="E43" i="175"/>
  <c r="E56" i="175"/>
  <c r="E37" i="175"/>
  <c r="E37" i="174"/>
  <c r="E48" i="174" s="1"/>
  <c r="E43" i="174"/>
  <c r="E56" i="174"/>
  <c r="Q19" i="173"/>
  <c r="T19" i="173"/>
  <c r="Q31" i="173"/>
  <c r="T31" i="173"/>
  <c r="Q11" i="173"/>
  <c r="T11" i="173"/>
  <c r="Q27" i="173"/>
  <c r="T27" i="173"/>
  <c r="Q23" i="173"/>
  <c r="T23" i="173"/>
  <c r="D42" i="172"/>
  <c r="D41" i="172"/>
  <c r="D46" i="172"/>
  <c r="D62" i="172"/>
  <c r="D52" i="172"/>
  <c r="D42" i="171"/>
  <c r="D41" i="171"/>
  <c r="D46" i="171"/>
  <c r="D62" i="171"/>
  <c r="D52" i="171"/>
  <c r="E13" i="170"/>
  <c r="E58" i="170" s="1"/>
  <c r="D37" i="170"/>
  <c r="D42" i="170"/>
  <c r="E48" i="176" l="1"/>
  <c r="E48" i="175"/>
  <c r="Q50" i="173"/>
  <c r="D43" i="172"/>
  <c r="D47" i="172"/>
  <c r="D56" i="172"/>
  <c r="D47" i="171"/>
  <c r="D43" i="171"/>
  <c r="D56" i="171"/>
  <c r="E50" i="170"/>
  <c r="E53" i="170"/>
  <c r="E59" i="170"/>
  <c r="E32" i="170"/>
  <c r="E45" i="170"/>
  <c r="E40" i="170"/>
  <c r="E31" i="170"/>
  <c r="E17" i="170"/>
  <c r="E39" i="170"/>
  <c r="E33" i="170"/>
  <c r="E34" i="170"/>
  <c r="E30" i="170"/>
  <c r="E36" i="170"/>
  <c r="E29" i="170"/>
  <c r="E64" i="170"/>
  <c r="E42" i="170"/>
  <c r="E60" i="170"/>
  <c r="E61" i="170"/>
  <c r="E51" i="170"/>
  <c r="E35" i="170"/>
  <c r="E63" i="170"/>
  <c r="D46" i="170"/>
  <c r="D41" i="170"/>
  <c r="D52" i="170"/>
  <c r="D62" i="170"/>
  <c r="E54" i="170"/>
  <c r="E55" i="170"/>
  <c r="E65" i="176" l="1"/>
  <c r="E66" i="176" s="1"/>
  <c r="E65" i="175"/>
  <c r="E66" i="175" s="1"/>
  <c r="E67" i="175" s="1"/>
  <c r="E65" i="174"/>
  <c r="E66" i="174" s="1"/>
  <c r="D65" i="172"/>
  <c r="D65" i="171"/>
  <c r="E62" i="170"/>
  <c r="E46" i="170"/>
  <c r="E47" i="170" s="1"/>
  <c r="D47" i="170"/>
  <c r="E52" i="170"/>
  <c r="E56" i="170" s="1"/>
  <c r="D56" i="170"/>
  <c r="E37" i="170"/>
  <c r="E41" i="170"/>
  <c r="E43" i="170" s="1"/>
  <c r="D43" i="170"/>
  <c r="E73" i="176" l="1"/>
  <c r="E67" i="176"/>
  <c r="E73" i="175"/>
  <c r="E67" i="174"/>
  <c r="E73" i="174"/>
  <c r="D66" i="172"/>
  <c r="D67" i="172" s="1"/>
  <c r="D66" i="171"/>
  <c r="D67" i="171" s="1"/>
  <c r="E48" i="170"/>
  <c r="D65" i="170"/>
  <c r="E65" i="170" l="1"/>
  <c r="E66" i="170" s="1"/>
  <c r="E67" i="170" s="1"/>
  <c r="D66" i="170"/>
  <c r="D67" i="170" s="1"/>
  <c r="E73" i="170" l="1"/>
  <c r="F6" i="138" s="1"/>
  <c r="J18" i="158"/>
  <c r="J17" i="158"/>
  <c r="J16" i="158"/>
  <c r="E7" i="158"/>
  <c r="E5" i="158"/>
  <c r="F6" i="84" l="1"/>
  <c r="G6" i="84" s="1"/>
  <c r="K6" i="84"/>
  <c r="E6" i="158"/>
  <c r="D6" i="158"/>
  <c r="E17" i="158"/>
  <c r="P9" i="121"/>
  <c r="Q7" i="121"/>
  <c r="P7" i="121"/>
  <c r="I11" i="161" l="1"/>
  <c r="J11" i="161"/>
  <c r="K11" i="161"/>
  <c r="D86" i="169"/>
  <c r="D87" i="169" s="1"/>
  <c r="D88" i="169" s="1"/>
  <c r="D89" i="169" s="1"/>
  <c r="D90" i="169" s="1"/>
  <c r="I81" i="169"/>
  <c r="I80" i="169"/>
  <c r="I76" i="169"/>
  <c r="I75" i="169"/>
  <c r="I73" i="169"/>
  <c r="I66" i="169"/>
  <c r="I65" i="169"/>
  <c r="I61" i="169"/>
  <c r="I60" i="169"/>
  <c r="I58" i="169"/>
  <c r="I51" i="169"/>
  <c r="I50" i="169"/>
  <c r="I49" i="169"/>
  <c r="I47" i="169"/>
  <c r="I46" i="169"/>
  <c r="I45" i="169"/>
  <c r="I38" i="169"/>
  <c r="I37" i="169"/>
  <c r="I36" i="169"/>
  <c r="I35" i="169"/>
  <c r="I34" i="169"/>
  <c r="I33" i="169"/>
  <c r="I32" i="169"/>
  <c r="I25" i="169"/>
  <c r="I24" i="169"/>
  <c r="I23" i="169"/>
  <c r="I22" i="169"/>
  <c r="I21" i="169"/>
  <c r="I20" i="169"/>
  <c r="I19" i="169"/>
  <c r="I12" i="169"/>
  <c r="I11" i="169"/>
  <c r="I10" i="169"/>
  <c r="I9" i="169"/>
  <c r="I8" i="169"/>
  <c r="I7" i="169"/>
  <c r="Q10" i="161"/>
  <c r="Q12" i="161"/>
  <c r="Q13" i="161"/>
  <c r="Q14" i="161"/>
  <c r="Q16" i="161"/>
  <c r="Q17" i="161"/>
  <c r="Q18" i="161"/>
  <c r="Q23" i="161"/>
  <c r="Q24" i="161"/>
  <c r="Q25" i="161"/>
  <c r="Q28" i="161"/>
  <c r="Q32" i="161"/>
  <c r="Q34" i="161"/>
  <c r="Q35" i="161"/>
  <c r="Q36" i="161"/>
  <c r="Q37" i="161"/>
  <c r="Q39" i="161"/>
  <c r="Q40" i="161"/>
  <c r="Q42" i="161"/>
  <c r="Q45" i="161"/>
  <c r="Q47" i="161"/>
  <c r="Q49" i="161"/>
  <c r="Q15" i="161"/>
  <c r="Q5" i="161"/>
  <c r="Q6" i="161"/>
  <c r="Q7" i="161"/>
  <c r="Q8" i="161"/>
  <c r="Q9" i="161"/>
  <c r="Q19" i="161"/>
  <c r="Q20" i="161"/>
  <c r="Q21" i="161"/>
  <c r="Q22" i="161"/>
  <c r="Q26" i="161"/>
  <c r="Q27" i="161"/>
  <c r="Q29" i="161"/>
  <c r="Q30" i="161"/>
  <c r="Q31" i="161"/>
  <c r="Q33" i="161"/>
  <c r="Q38" i="161"/>
  <c r="Q46" i="161"/>
  <c r="S50" i="161"/>
  <c r="Q11" i="121"/>
  <c r="P11" i="121"/>
  <c r="P21" i="121"/>
  <c r="Q19" i="121"/>
  <c r="Q32" i="121"/>
  <c r="P35" i="121"/>
  <c r="Q37" i="121"/>
  <c r="Q45" i="121"/>
  <c r="P47" i="121"/>
  <c r="R47" i="121" s="1"/>
  <c r="P50" i="121"/>
  <c r="Q59" i="121"/>
  <c r="P60" i="121"/>
  <c r="Q66" i="121"/>
  <c r="P66" i="121"/>
  <c r="Q81" i="121"/>
  <c r="Q80" i="121"/>
  <c r="Q79" i="121"/>
  <c r="Q78" i="121"/>
  <c r="Q77" i="121"/>
  <c r="Q76" i="121"/>
  <c r="Q75" i="121"/>
  <c r="Q74" i="121"/>
  <c r="Q73" i="121"/>
  <c r="P80" i="121"/>
  <c r="P79" i="121"/>
  <c r="P78" i="121"/>
  <c r="R78" i="121" s="1"/>
  <c r="S78" i="121" s="1"/>
  <c r="P77" i="121"/>
  <c r="R77" i="121" s="1"/>
  <c r="S77" i="121" s="1"/>
  <c r="P76" i="121"/>
  <c r="P75" i="121"/>
  <c r="P74" i="121"/>
  <c r="P73" i="121"/>
  <c r="P81" i="121"/>
  <c r="Q65" i="121"/>
  <c r="P65" i="121"/>
  <c r="Q64" i="121"/>
  <c r="P64" i="121"/>
  <c r="R64" i="121" s="1"/>
  <c r="S64" i="121" s="1"/>
  <c r="Q63" i="121"/>
  <c r="P63" i="121"/>
  <c r="Q62" i="121"/>
  <c r="P62" i="121"/>
  <c r="Q61" i="121"/>
  <c r="P61" i="121"/>
  <c r="Q60" i="121"/>
  <c r="P59" i="121"/>
  <c r="Q58" i="121"/>
  <c r="P58" i="121"/>
  <c r="Q51" i="121"/>
  <c r="P51" i="121"/>
  <c r="Q50" i="121"/>
  <c r="Q49" i="121"/>
  <c r="P49" i="121"/>
  <c r="Q48" i="121"/>
  <c r="P48" i="121"/>
  <c r="Q47" i="121"/>
  <c r="Q46" i="121"/>
  <c r="P46" i="121"/>
  <c r="P45" i="121"/>
  <c r="Q38" i="121"/>
  <c r="P38" i="121"/>
  <c r="P37" i="121"/>
  <c r="Q36" i="121"/>
  <c r="P36" i="121"/>
  <c r="Q35" i="121"/>
  <c r="Q34" i="121"/>
  <c r="P34" i="121"/>
  <c r="Q33" i="121"/>
  <c r="P33" i="121"/>
  <c r="P32" i="121"/>
  <c r="Q25" i="121"/>
  <c r="P25" i="121"/>
  <c r="Q24" i="121"/>
  <c r="P24" i="121"/>
  <c r="Q23" i="121"/>
  <c r="P23" i="121"/>
  <c r="Q22" i="121"/>
  <c r="P22" i="121"/>
  <c r="Q21" i="121"/>
  <c r="Q20" i="121"/>
  <c r="P20" i="121"/>
  <c r="P19" i="121"/>
  <c r="Q12" i="121"/>
  <c r="P12" i="121"/>
  <c r="Q10" i="121"/>
  <c r="P10" i="121"/>
  <c r="Q9" i="121"/>
  <c r="R9" i="121" s="1"/>
  <c r="Q8" i="121"/>
  <c r="P8" i="121"/>
  <c r="R7" i="121"/>
  <c r="R62" i="121"/>
  <c r="S62" i="121" s="1"/>
  <c r="I51" i="121"/>
  <c r="I50" i="121"/>
  <c r="I49" i="121"/>
  <c r="I47" i="121"/>
  <c r="I46" i="121"/>
  <c r="I45" i="121"/>
  <c r="I58" i="121"/>
  <c r="I66" i="121"/>
  <c r="I65" i="121"/>
  <c r="I61" i="121"/>
  <c r="I60" i="121"/>
  <c r="I37" i="121"/>
  <c r="S49" i="161"/>
  <c r="S48" i="161"/>
  <c r="H4" i="164"/>
  <c r="E7" i="164"/>
  <c r="G7" i="164" s="1"/>
  <c r="C7" i="164"/>
  <c r="O8" i="163"/>
  <c r="O9" i="163" s="1"/>
  <c r="O2" i="163"/>
  <c r="E7" i="138"/>
  <c r="C7" i="138"/>
  <c r="Q41" i="161" l="1"/>
  <c r="Q48" i="161"/>
  <c r="Q43" i="161"/>
  <c r="Q44" i="161"/>
  <c r="Q11" i="161"/>
  <c r="I13" i="169"/>
  <c r="I82" i="169"/>
  <c r="I39" i="169"/>
  <c r="I52" i="169"/>
  <c r="I26" i="169"/>
  <c r="T49" i="161"/>
  <c r="R74" i="121"/>
  <c r="S74" i="121" s="1"/>
  <c r="R46" i="121"/>
  <c r="R79" i="121"/>
  <c r="S79" i="121" s="1"/>
  <c r="R59" i="121"/>
  <c r="S59" i="121" s="1"/>
  <c r="R37" i="121"/>
  <c r="S37" i="121" s="1"/>
  <c r="S47" i="121"/>
  <c r="S46" i="121"/>
  <c r="R63" i="121"/>
  <c r="S63" i="121" s="1"/>
  <c r="R50" i="121"/>
  <c r="S50" i="121" s="1"/>
  <c r="R49" i="121"/>
  <c r="S49" i="121" s="1"/>
  <c r="R45" i="121"/>
  <c r="S45" i="121" s="1"/>
  <c r="R51" i="121"/>
  <c r="S51" i="121" s="1"/>
  <c r="R48" i="121"/>
  <c r="S48" i="121" s="1"/>
  <c r="R58" i="121"/>
  <c r="S58" i="121" s="1"/>
  <c r="R61" i="121"/>
  <c r="S61" i="121" s="1"/>
  <c r="R60" i="121"/>
  <c r="S60" i="121" s="1"/>
  <c r="R66" i="121"/>
  <c r="S66" i="121" s="1"/>
  <c r="R65" i="121"/>
  <c r="S65" i="121" s="1"/>
  <c r="O8" i="83"/>
  <c r="O2" i="83"/>
  <c r="C19" i="95"/>
  <c r="I67" i="169" l="1"/>
  <c r="T48" i="161"/>
  <c r="I67" i="121"/>
  <c r="I52" i="121"/>
  <c r="B25" i="165"/>
  <c r="B26" i="165" s="1"/>
  <c r="L5" i="158"/>
  <c r="I18" i="158"/>
  <c r="M18" i="158" s="1"/>
  <c r="F18" i="165"/>
  <c r="E6" i="172" s="1"/>
  <c r="O4" i="83" l="1"/>
  <c r="E13" i="172"/>
  <c r="E21" i="172"/>
  <c r="E27" i="172" s="1"/>
  <c r="F16" i="165"/>
  <c r="E6" i="171" s="1"/>
  <c r="N6" i="158"/>
  <c r="N7" i="158"/>
  <c r="L18" i="158"/>
  <c r="N18" i="158" s="1"/>
  <c r="C4" i="83" l="1"/>
  <c r="H7" i="83" s="1"/>
  <c r="E13" i="171"/>
  <c r="E21" i="171"/>
  <c r="E27" i="171" s="1"/>
  <c r="E39" i="172"/>
  <c r="E64" i="172"/>
  <c r="E51" i="172"/>
  <c r="E58" i="172"/>
  <c r="E53" i="172"/>
  <c r="E30" i="172"/>
  <c r="E34" i="172"/>
  <c r="E50" i="172"/>
  <c r="E54" i="172"/>
  <c r="E59" i="172"/>
  <c r="E40" i="172"/>
  <c r="E63" i="172"/>
  <c r="E60" i="172"/>
  <c r="E35" i="172"/>
  <c r="E29" i="172"/>
  <c r="E45" i="172"/>
  <c r="E47" i="172" s="1"/>
  <c r="E33" i="172"/>
  <c r="E55" i="172"/>
  <c r="E36" i="172"/>
  <c r="E61" i="172"/>
  <c r="E17" i="172"/>
  <c r="E31" i="172"/>
  <c r="E32" i="172"/>
  <c r="E42" i="172"/>
  <c r="E52" i="172"/>
  <c r="E62" i="172"/>
  <c r="E46" i="172"/>
  <c r="E41" i="172"/>
  <c r="E65" i="172"/>
  <c r="P7" i="83"/>
  <c r="Q7" i="83"/>
  <c r="R7" i="83"/>
  <c r="S7" i="83"/>
  <c r="O7" i="83"/>
  <c r="T7" i="83"/>
  <c r="D11" i="165"/>
  <c r="B17" i="165"/>
  <c r="B18" i="165" s="1"/>
  <c r="I17" i="158"/>
  <c r="E37" i="172" l="1"/>
  <c r="E43" i="172"/>
  <c r="E48" i="172" s="1"/>
  <c r="E66" i="172"/>
  <c r="E56" i="172"/>
  <c r="E39" i="171"/>
  <c r="E30" i="171"/>
  <c r="E34" i="171"/>
  <c r="E64" i="171"/>
  <c r="E50" i="171"/>
  <c r="E53" i="171"/>
  <c r="E54" i="171"/>
  <c r="E59" i="171"/>
  <c r="E63" i="171"/>
  <c r="E17" i="171"/>
  <c r="E31" i="171"/>
  <c r="E32" i="171"/>
  <c r="E51" i="171"/>
  <c r="E58" i="171"/>
  <c r="E40" i="171"/>
  <c r="E61" i="171"/>
  <c r="E60" i="171"/>
  <c r="E35" i="171"/>
  <c r="E29" i="171"/>
  <c r="E45" i="171"/>
  <c r="E33" i="171"/>
  <c r="E55" i="171"/>
  <c r="E36" i="171"/>
  <c r="E62" i="171"/>
  <c r="E46" i="171"/>
  <c r="E41" i="171"/>
  <c r="E42" i="171"/>
  <c r="E52" i="171"/>
  <c r="E65" i="171"/>
  <c r="G9" i="164"/>
  <c r="H8" i="164" s="1"/>
  <c r="E6" i="164"/>
  <c r="C6" i="164"/>
  <c r="E5" i="164"/>
  <c r="C5" i="164"/>
  <c r="I8" i="163"/>
  <c r="I9" i="163" s="1"/>
  <c r="C8" i="163"/>
  <c r="I2" i="163"/>
  <c r="C2" i="163"/>
  <c r="E73" i="172" l="1"/>
  <c r="E43" i="171"/>
  <c r="E66" i="171"/>
  <c r="E47" i="171"/>
  <c r="F7" i="138"/>
  <c r="F7" i="84"/>
  <c r="E67" i="172"/>
  <c r="E56" i="171"/>
  <c r="E37" i="171"/>
  <c r="E48" i="171" s="1"/>
  <c r="E73" i="171" s="1"/>
  <c r="K7" i="164"/>
  <c r="L7" i="164" s="1"/>
  <c r="K6" i="164"/>
  <c r="C9" i="163"/>
  <c r="K5" i="164"/>
  <c r="L5" i="164" s="1"/>
  <c r="L8" i="164"/>
  <c r="M8" i="164" s="1"/>
  <c r="L6" i="164"/>
  <c r="G6" i="164"/>
  <c r="G5" i="164"/>
  <c r="F5" i="138" l="1"/>
  <c r="F5" i="84"/>
  <c r="E67" i="171"/>
  <c r="K7" i="84"/>
  <c r="G7" i="84"/>
  <c r="L10" i="164"/>
  <c r="L4" i="164"/>
  <c r="M4" i="164" s="1"/>
  <c r="M10" i="164" s="1"/>
  <c r="N8" i="164" s="1"/>
  <c r="H11" i="164"/>
  <c r="K5" i="84" l="1"/>
  <c r="G5" i="84"/>
  <c r="H4" i="84" s="1"/>
  <c r="H12" i="164"/>
  <c r="H23" i="164" s="1"/>
  <c r="N4" i="164"/>
  <c r="N10" i="164" s="1"/>
  <c r="H14" i="84" l="1"/>
  <c r="H13" i="164"/>
  <c r="H14" i="164"/>
  <c r="K26" i="164" l="1"/>
  <c r="J26" i="164"/>
  <c r="S47" i="161" l="1"/>
  <c r="S46" i="161"/>
  <c r="S45" i="161"/>
  <c r="S44" i="161"/>
  <c r="S43" i="161"/>
  <c r="C8" i="83"/>
  <c r="I8" i="83"/>
  <c r="T44" i="161" l="1"/>
  <c r="T45" i="161"/>
  <c r="T46" i="161"/>
  <c r="I81" i="121"/>
  <c r="I80" i="121"/>
  <c r="I76" i="121"/>
  <c r="I75" i="121"/>
  <c r="I73" i="121"/>
  <c r="I38" i="121"/>
  <c r="I36" i="121"/>
  <c r="I35" i="121"/>
  <c r="I34" i="121"/>
  <c r="I33" i="121"/>
  <c r="I32" i="121"/>
  <c r="I25" i="121"/>
  <c r="I24" i="121"/>
  <c r="I23" i="121"/>
  <c r="I22" i="121"/>
  <c r="I21" i="121"/>
  <c r="I20" i="121"/>
  <c r="I19" i="121"/>
  <c r="I12" i="121"/>
  <c r="S15" i="161"/>
  <c r="S42" i="161"/>
  <c r="S41" i="161"/>
  <c r="S40" i="161"/>
  <c r="S36" i="161"/>
  <c r="S35" i="161"/>
  <c r="S34" i="161"/>
  <c r="S33" i="161"/>
  <c r="S32" i="161"/>
  <c r="S31" i="161"/>
  <c r="S30" i="161"/>
  <c r="S29" i="161"/>
  <c r="S28" i="161"/>
  <c r="S27" i="161"/>
  <c r="S26" i="161"/>
  <c r="S25" i="161"/>
  <c r="S24" i="161"/>
  <c r="S23" i="161"/>
  <c r="S22" i="161"/>
  <c r="S21" i="161"/>
  <c r="S20" i="161"/>
  <c r="S19" i="161"/>
  <c r="S17" i="161"/>
  <c r="S16" i="161"/>
  <c r="S14" i="161"/>
  <c r="S13" i="161"/>
  <c r="S12" i="161"/>
  <c r="S11" i="161"/>
  <c r="S10" i="161"/>
  <c r="S9" i="161"/>
  <c r="S8" i="161"/>
  <c r="S7" i="161"/>
  <c r="S6" i="161"/>
  <c r="S5" i="161"/>
  <c r="B5" i="161"/>
  <c r="B6" i="161" s="1"/>
  <c r="B7" i="161" s="1"/>
  <c r="B8" i="161" s="1"/>
  <c r="B9" i="161" s="1"/>
  <c r="B10" i="161" s="1"/>
  <c r="B11" i="161" s="1"/>
  <c r="B12" i="161" s="1"/>
  <c r="B13" i="161" s="1"/>
  <c r="B14" i="161" s="1"/>
  <c r="B15" i="161" s="1"/>
  <c r="B16" i="161" s="1"/>
  <c r="B17" i="161" s="1"/>
  <c r="B18" i="161" s="1"/>
  <c r="B19" i="161" s="1"/>
  <c r="B20" i="161" s="1"/>
  <c r="B21" i="161" s="1"/>
  <c r="B22" i="161" s="1"/>
  <c r="B23" i="161" s="1"/>
  <c r="B24" i="161" s="1"/>
  <c r="B25" i="161" s="1"/>
  <c r="B26" i="161" s="1"/>
  <c r="B27" i="161" s="1"/>
  <c r="B28" i="161" s="1"/>
  <c r="B29" i="161" s="1"/>
  <c r="B30" i="161" s="1"/>
  <c r="B31" i="161" s="1"/>
  <c r="B32" i="161" s="1"/>
  <c r="B33" i="161" s="1"/>
  <c r="B34" i="161" s="1"/>
  <c r="B35" i="161" s="1"/>
  <c r="B36" i="161" s="1"/>
  <c r="B37" i="161" s="1"/>
  <c r="B38" i="161" s="1"/>
  <c r="B39" i="161" s="1"/>
  <c r="B40" i="161" s="1"/>
  <c r="B41" i="161" s="1"/>
  <c r="B42" i="161" s="1"/>
  <c r="B43" i="161" s="1"/>
  <c r="B44" i="161" s="1"/>
  <c r="B45" i="161" s="1"/>
  <c r="B46" i="161" s="1"/>
  <c r="B47" i="161" s="1"/>
  <c r="S4" i="161"/>
  <c r="R25" i="121" l="1"/>
  <c r="S25" i="121" s="1"/>
  <c r="R34" i="121"/>
  <c r="S34" i="121" s="1"/>
  <c r="R20" i="121"/>
  <c r="S20" i="121" s="1"/>
  <c r="T29" i="161"/>
  <c r="T20" i="161"/>
  <c r="T18" i="161"/>
  <c r="T13" i="161"/>
  <c r="T47" i="161"/>
  <c r="T7" i="161"/>
  <c r="R19" i="121"/>
  <c r="S19" i="121" s="1"/>
  <c r="T43" i="161"/>
  <c r="R73" i="121"/>
  <c r="S73" i="121" s="1"/>
  <c r="R75" i="121"/>
  <c r="S75" i="121" s="1"/>
  <c r="R33" i="121"/>
  <c r="S33" i="121" s="1"/>
  <c r="R76" i="121"/>
  <c r="S76" i="121" s="1"/>
  <c r="R81" i="121"/>
  <c r="S81" i="121" s="1"/>
  <c r="R36" i="121"/>
  <c r="S36" i="121" s="1"/>
  <c r="R38" i="121"/>
  <c r="S38" i="121" s="1"/>
  <c r="R80" i="121"/>
  <c r="S80" i="121" s="1"/>
  <c r="R24" i="121"/>
  <c r="S24" i="121" s="1"/>
  <c r="R32" i="121"/>
  <c r="S32" i="121" s="1"/>
  <c r="R21" i="121"/>
  <c r="S21" i="121" s="1"/>
  <c r="R23" i="121"/>
  <c r="S23" i="121" s="1"/>
  <c r="R22" i="121"/>
  <c r="S22" i="121" s="1"/>
  <c r="R12" i="121"/>
  <c r="S12" i="121" s="1"/>
  <c r="T12" i="161"/>
  <c r="T35" i="161"/>
  <c r="T25" i="161"/>
  <c r="T9" i="161"/>
  <c r="P4" i="161"/>
  <c r="Q4" i="161" s="1"/>
  <c r="Q50" i="161" s="1"/>
  <c r="T11" i="161"/>
  <c r="T10" i="161"/>
  <c r="T33" i="161"/>
  <c r="T26" i="161"/>
  <c r="S18" i="161"/>
  <c r="R35" i="121" l="1"/>
  <c r="S35" i="121" s="1"/>
  <c r="I39" i="121" s="1"/>
  <c r="T8" i="161"/>
  <c r="T5" i="161"/>
  <c r="T14" i="161"/>
  <c r="T4" i="161"/>
  <c r="I82" i="121"/>
  <c r="T36" i="161"/>
  <c r="T19" i="161"/>
  <c r="T41" i="161"/>
  <c r="T31" i="161"/>
  <c r="T34" i="161"/>
  <c r="T42" i="161"/>
  <c r="T24" i="161"/>
  <c r="T22" i="161"/>
  <c r="T17" i="161"/>
  <c r="T6" i="161"/>
  <c r="T40" i="161"/>
  <c r="T30" i="161"/>
  <c r="T39" i="161"/>
  <c r="S39" i="161"/>
  <c r="T27" i="161"/>
  <c r="T32" i="161"/>
  <c r="S38" i="161"/>
  <c r="T38" i="161"/>
  <c r="T23" i="161"/>
  <c r="T28" i="161"/>
  <c r="T16" i="161"/>
  <c r="T21" i="161" l="1"/>
  <c r="T37" i="161"/>
  <c r="S37" i="161"/>
  <c r="F9" i="84" l="1"/>
  <c r="F9" i="138"/>
  <c r="G9" i="138" s="1"/>
  <c r="H8" i="138" s="1"/>
  <c r="K6" i="58" l="1"/>
  <c r="K8" i="58"/>
  <c r="E44" i="88"/>
  <c r="D44" i="88"/>
  <c r="E43" i="88"/>
  <c r="D43" i="88"/>
  <c r="D42" i="88"/>
  <c r="I39" i="88"/>
  <c r="D38" i="88"/>
  <c r="D37" i="88"/>
  <c r="I35" i="88"/>
  <c r="I34" i="88"/>
  <c r="I32" i="88"/>
  <c r="I31" i="88"/>
  <c r="I30" i="88"/>
  <c r="Z18" i="88"/>
  <c r="S18" i="88"/>
  <c r="O18" i="88"/>
  <c r="H18" i="88"/>
  <c r="Z17" i="88"/>
  <c r="Y17" i="88"/>
  <c r="W17" i="88"/>
  <c r="T17" i="88"/>
  <c r="S17" i="88"/>
  <c r="R17" i="88"/>
  <c r="Q17" i="88"/>
  <c r="P17" i="88"/>
  <c r="O17" i="88"/>
  <c r="N17" i="88"/>
  <c r="L17" i="88"/>
  <c r="I17" i="88"/>
  <c r="H17" i="88"/>
  <c r="F17" i="88"/>
  <c r="E17" i="88"/>
  <c r="Z16" i="88"/>
  <c r="Y16" i="88"/>
  <c r="W16" i="88"/>
  <c r="T16" i="88"/>
  <c r="S16" i="88"/>
  <c r="R16" i="88"/>
  <c r="Q16" i="88"/>
  <c r="P16" i="88"/>
  <c r="O16" i="88"/>
  <c r="N16" i="88"/>
  <c r="L16" i="88"/>
  <c r="I16" i="88"/>
  <c r="H16" i="88"/>
  <c r="F16" i="88"/>
  <c r="E16" i="88"/>
  <c r="Z15" i="88"/>
  <c r="Y15" i="88"/>
  <c r="W15" i="88"/>
  <c r="T15" i="88"/>
  <c r="S15" i="88"/>
  <c r="R15" i="88"/>
  <c r="Q15" i="88"/>
  <c r="P15" i="88"/>
  <c r="O15" i="88"/>
  <c r="N15" i="88"/>
  <c r="L15" i="88"/>
  <c r="I15" i="88"/>
  <c r="H15" i="88"/>
  <c r="F15" i="88"/>
  <c r="E15" i="88"/>
  <c r="Z14" i="88"/>
  <c r="Y14" i="88"/>
  <c r="W14" i="88"/>
  <c r="T14" i="88"/>
  <c r="S14" i="88"/>
  <c r="R14" i="88"/>
  <c r="Q14" i="88"/>
  <c r="P14" i="88"/>
  <c r="O14" i="88"/>
  <c r="N14" i="88"/>
  <c r="L14" i="88"/>
  <c r="I14" i="88"/>
  <c r="H14" i="88"/>
  <c r="F14" i="88"/>
  <c r="E14" i="88"/>
  <c r="Z13" i="88"/>
  <c r="Y13" i="88"/>
  <c r="W13" i="88"/>
  <c r="T13" i="88"/>
  <c r="S13" i="88"/>
  <c r="R13" i="88"/>
  <c r="Q13" i="88"/>
  <c r="P13" i="88"/>
  <c r="O13" i="88"/>
  <c r="N13" i="88"/>
  <c r="L13" i="88"/>
  <c r="I13" i="88"/>
  <c r="H13" i="88"/>
  <c r="F13" i="88"/>
  <c r="E13" i="88"/>
  <c r="Z12" i="88"/>
  <c r="Y12" i="88"/>
  <c r="W12" i="88"/>
  <c r="T12" i="88"/>
  <c r="S12" i="88"/>
  <c r="R12" i="88"/>
  <c r="Q12" i="88"/>
  <c r="P12" i="88"/>
  <c r="O12" i="88"/>
  <c r="N12" i="88"/>
  <c r="L12" i="88"/>
  <c r="I12" i="88"/>
  <c r="H12" i="88"/>
  <c r="F12" i="88"/>
  <c r="E12" i="88"/>
  <c r="Z11" i="88"/>
  <c r="Y11" i="88"/>
  <c r="W11" i="88"/>
  <c r="T11" i="88"/>
  <c r="S11" i="88"/>
  <c r="R11" i="88"/>
  <c r="Q11" i="88"/>
  <c r="P11" i="88"/>
  <c r="O11" i="88"/>
  <c r="N11" i="88"/>
  <c r="L11" i="88"/>
  <c r="I11" i="88"/>
  <c r="H11" i="88"/>
  <c r="F11" i="88"/>
  <c r="E11" i="88"/>
  <c r="Z10" i="88"/>
  <c r="Y10" i="88"/>
  <c r="W10" i="88"/>
  <c r="T10" i="88"/>
  <c r="S10" i="88"/>
  <c r="R10" i="88"/>
  <c r="Q10" i="88"/>
  <c r="P10" i="88"/>
  <c r="O10" i="88"/>
  <c r="N10" i="88"/>
  <c r="L10" i="88"/>
  <c r="I10" i="88"/>
  <c r="H10" i="88"/>
  <c r="F10" i="88"/>
  <c r="E10" i="88"/>
  <c r="Z9" i="88"/>
  <c r="Y9" i="88"/>
  <c r="W9" i="88"/>
  <c r="T9" i="88"/>
  <c r="S9" i="88"/>
  <c r="R9" i="88"/>
  <c r="Q9" i="88"/>
  <c r="P9" i="88"/>
  <c r="O9" i="88"/>
  <c r="N9" i="88"/>
  <c r="L9" i="88"/>
  <c r="I9" i="88"/>
  <c r="H9" i="88"/>
  <c r="F9" i="88"/>
  <c r="E9" i="88"/>
  <c r="Z8" i="88"/>
  <c r="Y8" i="88"/>
  <c r="W8" i="88"/>
  <c r="T8" i="88"/>
  <c r="S8" i="88"/>
  <c r="R8" i="88"/>
  <c r="Q8" i="88"/>
  <c r="P8" i="88"/>
  <c r="O8" i="88"/>
  <c r="N8" i="88"/>
  <c r="L8" i="88"/>
  <c r="I8" i="88"/>
  <c r="H8" i="88"/>
  <c r="F8" i="88"/>
  <c r="E8" i="88"/>
  <c r="Z7" i="88"/>
  <c r="Y7" i="88"/>
  <c r="W7" i="88"/>
  <c r="T7" i="88"/>
  <c r="S7" i="88"/>
  <c r="R7" i="88"/>
  <c r="Q7" i="88"/>
  <c r="P7" i="88"/>
  <c r="O7" i="88"/>
  <c r="N7" i="88"/>
  <c r="L7" i="88"/>
  <c r="I7" i="88"/>
  <c r="H7" i="88"/>
  <c r="F7" i="88"/>
  <c r="E7" i="88"/>
  <c r="Z6" i="88"/>
  <c r="Y6" i="88"/>
  <c r="W6" i="88"/>
  <c r="T6" i="88"/>
  <c r="S6" i="88"/>
  <c r="R6" i="88"/>
  <c r="P6" i="88"/>
  <c r="O6" i="88"/>
  <c r="N6" i="88"/>
  <c r="L6" i="88"/>
  <c r="I6" i="88"/>
  <c r="H6" i="88"/>
  <c r="E6" i="88"/>
  <c r="E40" i="87"/>
  <c r="D40" i="87"/>
  <c r="E39" i="87"/>
  <c r="D39" i="87"/>
  <c r="D34" i="87"/>
  <c r="D33" i="87"/>
  <c r="M28" i="87"/>
  <c r="M27" i="87"/>
  <c r="M25" i="87"/>
  <c r="M24" i="87"/>
  <c r="M23" i="87"/>
  <c r="M18" i="87"/>
  <c r="H18" i="87"/>
  <c r="M17" i="87"/>
  <c r="L17" i="87"/>
  <c r="K17" i="87"/>
  <c r="J17" i="87"/>
  <c r="I17" i="87"/>
  <c r="H17" i="87"/>
  <c r="F17" i="87"/>
  <c r="E17" i="87"/>
  <c r="M16" i="87"/>
  <c r="L16" i="87"/>
  <c r="K16" i="87"/>
  <c r="J16" i="87"/>
  <c r="I16" i="87"/>
  <c r="H16" i="87"/>
  <c r="F16" i="87"/>
  <c r="E16" i="87"/>
  <c r="M15" i="87"/>
  <c r="L15" i="87"/>
  <c r="K15" i="87"/>
  <c r="J15" i="87"/>
  <c r="I15" i="87"/>
  <c r="H15" i="87"/>
  <c r="F15" i="87"/>
  <c r="E15" i="87"/>
  <c r="M14" i="87"/>
  <c r="L14" i="87"/>
  <c r="K14" i="87"/>
  <c r="J14" i="87"/>
  <c r="I14" i="87"/>
  <c r="H14" i="87"/>
  <c r="F14" i="87"/>
  <c r="E14" i="87"/>
  <c r="M13" i="87"/>
  <c r="L13" i="87"/>
  <c r="K13" i="87"/>
  <c r="J13" i="87"/>
  <c r="I13" i="87"/>
  <c r="H13" i="87"/>
  <c r="F13" i="87"/>
  <c r="E13" i="87"/>
  <c r="M12" i="87"/>
  <c r="L12" i="87"/>
  <c r="K12" i="87"/>
  <c r="J12" i="87"/>
  <c r="I12" i="87"/>
  <c r="H12" i="87"/>
  <c r="F12" i="87"/>
  <c r="E12" i="87"/>
  <c r="M11" i="87"/>
  <c r="L11" i="87"/>
  <c r="K11" i="87"/>
  <c r="J11" i="87"/>
  <c r="I11" i="87"/>
  <c r="H11" i="87"/>
  <c r="F11" i="87"/>
  <c r="E11" i="87"/>
  <c r="M10" i="87"/>
  <c r="L10" i="87"/>
  <c r="K10" i="87"/>
  <c r="J10" i="87"/>
  <c r="I10" i="87"/>
  <c r="H10" i="87"/>
  <c r="F10" i="87"/>
  <c r="E10" i="87"/>
  <c r="M9" i="87"/>
  <c r="L9" i="87"/>
  <c r="K9" i="87"/>
  <c r="J9" i="87"/>
  <c r="I9" i="87"/>
  <c r="H9" i="87"/>
  <c r="F9" i="87"/>
  <c r="E9" i="87"/>
  <c r="M8" i="87"/>
  <c r="L8" i="87"/>
  <c r="K8" i="87"/>
  <c r="J8" i="87"/>
  <c r="I8" i="87"/>
  <c r="H8" i="87"/>
  <c r="F8" i="87"/>
  <c r="E8" i="87"/>
  <c r="M7" i="87"/>
  <c r="L7" i="87"/>
  <c r="K7" i="87"/>
  <c r="J7" i="87"/>
  <c r="I7" i="87"/>
  <c r="H7" i="87"/>
  <c r="F7" i="87"/>
  <c r="E7" i="87"/>
  <c r="M6" i="87"/>
  <c r="L6" i="87"/>
  <c r="J6" i="87"/>
  <c r="I6" i="87"/>
  <c r="H6" i="87"/>
  <c r="E6" i="87"/>
  <c r="Z18" i="86"/>
  <c r="S18" i="86"/>
  <c r="O18" i="86"/>
  <c r="H18" i="86"/>
  <c r="Z17" i="86"/>
  <c r="Y17" i="86"/>
  <c r="W17" i="86"/>
  <c r="S17" i="86"/>
  <c r="Q17" i="86"/>
  <c r="O17" i="86"/>
  <c r="N17" i="86"/>
  <c r="L17" i="86"/>
  <c r="F17" i="86"/>
  <c r="Z16" i="86"/>
  <c r="Y16" i="86"/>
  <c r="W16" i="86"/>
  <c r="S16" i="86"/>
  <c r="Q16" i="86"/>
  <c r="O16" i="86"/>
  <c r="N16" i="86"/>
  <c r="L16" i="86"/>
  <c r="F16" i="86"/>
  <c r="Z15" i="86"/>
  <c r="Y15" i="86"/>
  <c r="W15" i="86"/>
  <c r="S15" i="86"/>
  <c r="Q15" i="86"/>
  <c r="O15" i="86"/>
  <c r="N15" i="86"/>
  <c r="L15" i="86"/>
  <c r="F15" i="86"/>
  <c r="Z14" i="86"/>
  <c r="Y14" i="86"/>
  <c r="W14" i="86"/>
  <c r="S14" i="86"/>
  <c r="Q14" i="86"/>
  <c r="O14" i="86"/>
  <c r="N14" i="86"/>
  <c r="L14" i="86"/>
  <c r="F14" i="86"/>
  <c r="Z13" i="86"/>
  <c r="Y13" i="86"/>
  <c r="W13" i="86"/>
  <c r="S13" i="86"/>
  <c r="Q13" i="86"/>
  <c r="O13" i="86"/>
  <c r="N13" i="86"/>
  <c r="L13" i="86"/>
  <c r="F13" i="86"/>
  <c r="Z12" i="86"/>
  <c r="Y12" i="86"/>
  <c r="W12" i="86"/>
  <c r="S12" i="86"/>
  <c r="Q12" i="86"/>
  <c r="O12" i="86"/>
  <c r="N12" i="86"/>
  <c r="L12" i="86"/>
  <c r="F12" i="86"/>
  <c r="Z11" i="86"/>
  <c r="Y11" i="86"/>
  <c r="W11" i="86"/>
  <c r="S11" i="86"/>
  <c r="Q11" i="86"/>
  <c r="O11" i="86"/>
  <c r="N11" i="86"/>
  <c r="L11" i="86"/>
  <c r="F11" i="86"/>
  <c r="Z10" i="86"/>
  <c r="Y10" i="86"/>
  <c r="W10" i="86"/>
  <c r="S10" i="86"/>
  <c r="Q10" i="86"/>
  <c r="O10" i="86"/>
  <c r="N10" i="86"/>
  <c r="L10" i="86"/>
  <c r="F10" i="86"/>
  <c r="Z9" i="86"/>
  <c r="Y9" i="86"/>
  <c r="W9" i="86"/>
  <c r="S9" i="86"/>
  <c r="Q9" i="86"/>
  <c r="O9" i="86"/>
  <c r="N9" i="86"/>
  <c r="L9" i="86"/>
  <c r="F9" i="86"/>
  <c r="Z8" i="86"/>
  <c r="Y8" i="86"/>
  <c r="W8" i="86"/>
  <c r="S8" i="86"/>
  <c r="Q8" i="86"/>
  <c r="O8" i="86"/>
  <c r="N8" i="86"/>
  <c r="L8" i="86"/>
  <c r="F8" i="86"/>
  <c r="Z7" i="86"/>
  <c r="Y7" i="86"/>
  <c r="W7" i="86"/>
  <c r="S7" i="86"/>
  <c r="Q7" i="86"/>
  <c r="O7" i="86"/>
  <c r="N7" i="86"/>
  <c r="L7" i="86"/>
  <c r="F7" i="86"/>
  <c r="Z6" i="86"/>
  <c r="Y6" i="86"/>
  <c r="W6" i="86"/>
  <c r="S6" i="86"/>
  <c r="O6" i="86"/>
  <c r="N6" i="86"/>
  <c r="L6" i="86"/>
  <c r="E14" i="138"/>
  <c r="E6" i="138"/>
  <c r="C6" i="138"/>
  <c r="E5" i="138"/>
  <c r="C5" i="138"/>
  <c r="B30" i="58"/>
  <c r="U26" i="58"/>
  <c r="S26" i="58"/>
  <c r="R26" i="58"/>
  <c r="Q26" i="58"/>
  <c r="M26" i="58"/>
  <c r="D26" i="58"/>
  <c r="B26" i="58"/>
  <c r="U25" i="58"/>
  <c r="S25" i="58"/>
  <c r="R25" i="58"/>
  <c r="Q25" i="58"/>
  <c r="M25" i="58"/>
  <c r="G25" i="58"/>
  <c r="D25" i="58"/>
  <c r="U24" i="58"/>
  <c r="S24" i="58"/>
  <c r="R24" i="58"/>
  <c r="Q24" i="58"/>
  <c r="M24" i="58"/>
  <c r="G24" i="58"/>
  <c r="D24" i="58"/>
  <c r="U23" i="58"/>
  <c r="S23" i="58"/>
  <c r="R23" i="58"/>
  <c r="Q23" i="58"/>
  <c r="M23" i="58"/>
  <c r="F23" i="58"/>
  <c r="E23" i="58"/>
  <c r="D23" i="58"/>
  <c r="U22" i="58"/>
  <c r="S22" i="58"/>
  <c r="R22" i="58"/>
  <c r="Q22" i="58"/>
  <c r="M22" i="58"/>
  <c r="G22" i="58"/>
  <c r="F22" i="58"/>
  <c r="E22" i="58"/>
  <c r="D22" i="58"/>
  <c r="U21" i="58"/>
  <c r="S21" i="58"/>
  <c r="R21" i="58"/>
  <c r="Q21" i="58"/>
  <c r="M21" i="58"/>
  <c r="G21" i="58"/>
  <c r="F21" i="58"/>
  <c r="E21" i="58"/>
  <c r="D21" i="58"/>
  <c r="U20" i="58"/>
  <c r="S20" i="58"/>
  <c r="R20" i="58"/>
  <c r="Q20" i="58"/>
  <c r="M20" i="58"/>
  <c r="F20" i="58"/>
  <c r="D20" i="58"/>
  <c r="U19" i="58"/>
  <c r="S19" i="58"/>
  <c r="R19" i="58"/>
  <c r="Q19" i="58"/>
  <c r="M19" i="58"/>
  <c r="F19" i="58"/>
  <c r="D19" i="58"/>
  <c r="U18" i="58"/>
  <c r="S18" i="58"/>
  <c r="R18" i="58"/>
  <c r="Q18" i="58"/>
  <c r="M18" i="58"/>
  <c r="F18" i="58"/>
  <c r="E18" i="58"/>
  <c r="D18" i="58"/>
  <c r="U17" i="58"/>
  <c r="S17" i="58"/>
  <c r="R17" i="58"/>
  <c r="Q17" i="58"/>
  <c r="M17" i="58"/>
  <c r="G17" i="58"/>
  <c r="F17" i="58"/>
  <c r="D17" i="58"/>
  <c r="U16" i="58"/>
  <c r="S16" i="58"/>
  <c r="R16" i="58"/>
  <c r="Q16" i="58"/>
  <c r="M16" i="58"/>
  <c r="F16" i="58"/>
  <c r="E16" i="58"/>
  <c r="D16" i="58"/>
  <c r="U15" i="58"/>
  <c r="S15" i="58"/>
  <c r="R15" i="58"/>
  <c r="Q15" i="58"/>
  <c r="M15" i="58"/>
  <c r="G15" i="58"/>
  <c r="U14" i="58"/>
  <c r="S14" i="58"/>
  <c r="R14" i="58"/>
  <c r="Q14" i="58"/>
  <c r="M14" i="58"/>
  <c r="F14" i="58"/>
  <c r="E14" i="58"/>
  <c r="D14" i="58"/>
  <c r="I8" i="58"/>
  <c r="H8" i="58"/>
  <c r="G8" i="58"/>
  <c r="K7" i="58"/>
  <c r="H7" i="58"/>
  <c r="G7" i="58"/>
  <c r="I6" i="58"/>
  <c r="H6" i="58"/>
  <c r="G6" i="58"/>
  <c r="C5" i="58"/>
  <c r="B33" i="84"/>
  <c r="B34" i="84" s="1"/>
  <c r="B35" i="84" s="1"/>
  <c r="B25" i="58"/>
  <c r="B24" i="58"/>
  <c r="B23" i="58"/>
  <c r="B22" i="58"/>
  <c r="B21" i="58"/>
  <c r="B20" i="58"/>
  <c r="B19" i="58"/>
  <c r="B18" i="58"/>
  <c r="B17" i="58"/>
  <c r="B16" i="58"/>
  <c r="E6" i="84"/>
  <c r="C6" i="84"/>
  <c r="B15" i="58" s="1"/>
  <c r="E5" i="84"/>
  <c r="C5" i="84"/>
  <c r="B14" i="58" s="1"/>
  <c r="I2" i="83"/>
  <c r="C2" i="83"/>
  <c r="C104" i="78"/>
  <c r="C103" i="78"/>
  <c r="C102" i="78"/>
  <c r="C101" i="78"/>
  <c r="C100" i="78"/>
  <c r="V88" i="78"/>
  <c r="H88" i="78"/>
  <c r="V82" i="78"/>
  <c r="H82" i="78"/>
  <c r="V73" i="78"/>
  <c r="H73" i="78"/>
  <c r="V68" i="78"/>
  <c r="H68" i="78"/>
  <c r="V61" i="78"/>
  <c r="H61" i="78"/>
  <c r="V57" i="78"/>
  <c r="V51" i="78"/>
  <c r="H51" i="78"/>
  <c r="K45" i="78"/>
  <c r="H50" i="78" s="1"/>
  <c r="V46" i="78" s="1"/>
  <c r="Q44" i="78"/>
  <c r="K41" i="78"/>
  <c r="H41" i="78"/>
  <c r="V35" i="78"/>
  <c r="H35" i="78"/>
  <c r="N30" i="78"/>
  <c r="H30" i="78"/>
  <c r="V29" i="78" s="1"/>
  <c r="C28" i="78"/>
  <c r="Q24" i="78"/>
  <c r="V19" i="78"/>
  <c r="V16" i="78"/>
  <c r="V10" i="78"/>
  <c r="V13" i="78" s="1"/>
  <c r="D86" i="121"/>
  <c r="D87" i="121" s="1"/>
  <c r="D88" i="121" s="1"/>
  <c r="D89" i="121" s="1"/>
  <c r="D90" i="121" s="1"/>
  <c r="I11" i="121"/>
  <c r="I10" i="121"/>
  <c r="I9" i="121"/>
  <c r="I8" i="121"/>
  <c r="I7" i="121"/>
  <c r="F19" i="95"/>
  <c r="I19" i="95" s="1"/>
  <c r="H6" i="95"/>
  <c r="H7" i="95" s="1"/>
  <c r="H8" i="95" s="1"/>
  <c r="D6" i="95"/>
  <c r="D7" i="95" s="1"/>
  <c r="D8" i="95" s="1"/>
  <c r="D9" i="95" s="1"/>
  <c r="K9" i="95" s="1"/>
  <c r="E5" i="95"/>
  <c r="E6" i="95" s="1"/>
  <c r="E7" i="95" s="1"/>
  <c r="E8" i="95" s="1"/>
  <c r="E9" i="95" s="1"/>
  <c r="C22" i="158"/>
  <c r="B36" i="84" l="1"/>
  <c r="B37" i="84" s="1"/>
  <c r="B38" i="84" s="1"/>
  <c r="B39" i="84" s="1"/>
  <c r="B40" i="84" s="1"/>
  <c r="F5" i="95"/>
  <c r="C7" i="83"/>
  <c r="D7" i="83"/>
  <c r="E7" i="83"/>
  <c r="F7" i="83"/>
  <c r="G7" i="83"/>
  <c r="C9" i="83"/>
  <c r="V80" i="78"/>
  <c r="V22" i="78"/>
  <c r="V94" i="78"/>
  <c r="Q96" i="78" s="1"/>
  <c r="T81" i="78"/>
  <c r="Q81" i="78"/>
  <c r="V81" i="78" s="1"/>
  <c r="Q23" i="78"/>
  <c r="O44" i="78"/>
  <c r="V100" i="78"/>
  <c r="V31" i="78"/>
  <c r="V32" i="78" s="1"/>
  <c r="T24" i="78"/>
  <c r="V24" i="78" s="1"/>
  <c r="T23" i="78"/>
  <c r="T44" i="78"/>
  <c r="V44" i="78" s="1"/>
  <c r="O41" i="78"/>
  <c r="V41" i="78" s="1"/>
  <c r="V42" i="78" s="1"/>
  <c r="S7" i="121"/>
  <c r="R8" i="121"/>
  <c r="S8" i="121" s="1"/>
  <c r="S9" i="121"/>
  <c r="M17" i="158"/>
  <c r="L16" i="158"/>
  <c r="M16" i="158"/>
  <c r="L17" i="158"/>
  <c r="L6" i="58"/>
  <c r="M6" i="58" s="1"/>
  <c r="L7" i="58"/>
  <c r="M7" i="58" s="1"/>
  <c r="L8" i="58"/>
  <c r="M8" i="58" s="1"/>
  <c r="R11" i="121"/>
  <c r="S11" i="121" s="1"/>
  <c r="R10" i="121" l="1"/>
  <c r="S10" i="121" s="1"/>
  <c r="M8" i="138"/>
  <c r="F6" i="95"/>
  <c r="G5" i="95"/>
  <c r="N45" i="78"/>
  <c r="V45" i="78" s="1"/>
  <c r="V54" i="78"/>
  <c r="K96" i="78"/>
  <c r="V102" i="78"/>
  <c r="V23" i="78"/>
  <c r="V25" i="78" s="1"/>
  <c r="N17" i="158"/>
  <c r="N16" i="158"/>
  <c r="H8" i="84"/>
  <c r="M8" i="84" s="1"/>
  <c r="G6" i="95" l="1"/>
  <c r="K5" i="95"/>
  <c r="F7" i="95"/>
  <c r="K6" i="95"/>
  <c r="V101" i="78"/>
  <c r="I96" i="78"/>
  <c r="V103" i="78"/>
  <c r="M96" i="78"/>
  <c r="F8" i="95" l="1"/>
  <c r="G7" i="95"/>
  <c r="G8" i="95" s="1"/>
  <c r="D10" i="95"/>
  <c r="V96" i="78"/>
  <c r="V97" i="78" s="1"/>
  <c r="V104" i="78" s="1"/>
  <c r="V105" i="78" s="1"/>
  <c r="E30" i="95" l="1"/>
  <c r="D19" i="95"/>
  <c r="K7" i="95"/>
  <c r="K8" i="95"/>
  <c r="C22" i="58"/>
  <c r="C20" i="58"/>
  <c r="C24" i="58"/>
  <c r="C17" i="58"/>
  <c r="C16" i="58"/>
  <c r="C26" i="58"/>
  <c r="C21" i="58"/>
  <c r="C25" i="58"/>
  <c r="C18" i="58"/>
  <c r="C23" i="58"/>
  <c r="C19" i="58"/>
  <c r="E29" i="95" l="1"/>
  <c r="J19" i="95"/>
  <c r="K10" i="95"/>
  <c r="V18" i="58"/>
  <c r="T18" i="58"/>
  <c r="V25" i="58"/>
  <c r="T25" i="58"/>
  <c r="T21" i="58"/>
  <c r="V21" i="58"/>
  <c r="T26" i="58"/>
  <c r="V26" i="58"/>
  <c r="V16" i="58"/>
  <c r="T16" i="58"/>
  <c r="V17" i="58"/>
  <c r="T17" i="58"/>
  <c r="T24" i="58"/>
  <c r="V24" i="58"/>
  <c r="V20" i="58"/>
  <c r="T20" i="58"/>
  <c r="V19" i="58"/>
  <c r="T19" i="58"/>
  <c r="V23" i="58"/>
  <c r="T23" i="58"/>
  <c r="T22" i="58"/>
  <c r="V22" i="58"/>
  <c r="K7" i="138" l="1"/>
  <c r="L7" i="138" s="1"/>
  <c r="G7" i="138"/>
  <c r="D16" i="158" l="1"/>
  <c r="O16" i="158" s="1"/>
  <c r="G5" i="138"/>
  <c r="K5" i="138"/>
  <c r="L5" i="138" s="1"/>
  <c r="L7" i="84" l="1"/>
  <c r="D18" i="158"/>
  <c r="O18" i="158" s="1"/>
  <c r="L5" i="84"/>
  <c r="C14" i="58"/>
  <c r="T14" i="58" l="1"/>
  <c r="V14" i="58"/>
  <c r="O9" i="83" l="1"/>
  <c r="K5" i="58"/>
  <c r="I7" i="83" l="1"/>
  <c r="L5" i="58"/>
  <c r="M5" i="58" s="1"/>
  <c r="K7" i="83"/>
  <c r="L7" i="83"/>
  <c r="N7" i="83"/>
  <c r="I9" i="83" s="1"/>
  <c r="I13" i="83" s="1"/>
  <c r="J7" i="83"/>
  <c r="M7" i="83"/>
  <c r="K6" i="138" l="1"/>
  <c r="L6" i="138" s="1"/>
  <c r="G6" i="138"/>
  <c r="H4" i="138" s="1"/>
  <c r="H11" i="138" l="1"/>
  <c r="H12" i="138" s="1"/>
  <c r="H40" i="138" s="1"/>
  <c r="L4" i="138"/>
  <c r="M4" i="138" s="1"/>
  <c r="L10" i="138"/>
  <c r="C15" i="58"/>
  <c r="D17" i="158"/>
  <c r="O17" i="158" s="1"/>
  <c r="L6" i="84"/>
  <c r="H23" i="138" l="1"/>
  <c r="H24" i="138" s="1"/>
  <c r="T15" i="58"/>
  <c r="V15" i="58"/>
  <c r="L4" i="84"/>
  <c r="M4" i="84" s="1"/>
  <c r="L10" i="84"/>
  <c r="M10" i="138"/>
  <c r="N8" i="138" s="1"/>
  <c r="H13" i="138"/>
  <c r="H13" i="84" l="1"/>
  <c r="K26" i="84" s="1"/>
  <c r="H14" i="138"/>
  <c r="K26" i="138" s="1"/>
  <c r="H24" i="84"/>
  <c r="H32" i="138"/>
  <c r="H33" i="138" s="1"/>
  <c r="M10" i="84"/>
  <c r="N8" i="84" s="1"/>
  <c r="N4" i="138"/>
  <c r="N10" i="138" s="1"/>
  <c r="H26" i="138" l="1"/>
  <c r="J26" i="138" s="1"/>
  <c r="H35" i="138"/>
  <c r="H34" i="138"/>
  <c r="H26" i="84"/>
  <c r="J26" i="84" s="1"/>
  <c r="H37" i="138"/>
  <c r="H38" i="138" s="1"/>
  <c r="N4" i="84"/>
  <c r="N10" i="84" s="1"/>
  <c r="H36" i="138" l="1"/>
  <c r="H39" i="138" s="1"/>
  <c r="J40" i="138" s="1"/>
</calcChain>
</file>

<file path=xl/comments1.xml><?xml version="1.0" encoding="utf-8"?>
<comments xmlns="http://schemas.openxmlformats.org/spreadsheetml/2006/main">
  <authors>
    <author>leonardo jose alves leal neri</author>
    <author>Leo e Dan</author>
  </authors>
  <commentList>
    <comment ref="G13" authorId="0" shapeId="0">
      <text>
        <r>
          <rPr>
            <b/>
            <sz val="9"/>
            <rFont val="Segoe UI"/>
            <family val="2"/>
          </rPr>
          <t>leonardo jose alves leal neri:</t>
        </r>
        <r>
          <rPr>
            <sz val="9"/>
            <rFont val="Segoe UI"/>
            <family val="2"/>
          </rPr>
          <t xml:space="preserve">
(sal + sal * P. Enc. Sociais) * (1+BDI). Cálculo VT, VA , Aux. Alimentação e outors / 109 - total da equipe</t>
        </r>
      </text>
    </comment>
    <comment ref="D18" authorId="1" shapeId="0">
      <text>
        <r>
          <rPr>
            <b/>
            <sz val="9"/>
            <rFont val="Segoe UI"/>
            <family val="2"/>
          </rPr>
          <t>Leo e Dan:</t>
        </r>
        <r>
          <rPr>
            <sz val="9"/>
            <rFont val="Segoe UI"/>
            <family val="2"/>
          </rPr>
          <t xml:space="preserve">
Comp. Oficial de Manutenção Predial</t>
        </r>
      </text>
    </comment>
    <comment ref="D19" authorId="1" shapeId="0">
      <text>
        <r>
          <rPr>
            <b/>
            <sz val="9"/>
            <rFont val="Segoe UI"/>
            <family val="2"/>
          </rPr>
          <t>Leo e Dan:</t>
        </r>
        <r>
          <rPr>
            <sz val="9"/>
            <rFont val="Segoe UI"/>
            <family val="2"/>
          </rPr>
          <t xml:space="preserve">
Comp. Oficial de Manutenção Predial</t>
        </r>
      </text>
    </comment>
    <comment ref="D20" authorId="1" shapeId="0">
      <text>
        <r>
          <rPr>
            <b/>
            <sz val="9"/>
            <rFont val="Segoe UI"/>
            <family val="2"/>
          </rPr>
          <t>Leo e Dan:</t>
        </r>
        <r>
          <rPr>
            <sz val="9"/>
            <rFont val="Segoe UI"/>
            <family val="2"/>
          </rPr>
          <t xml:space="preserve">
Comp. Oficial de Manutenção Predial</t>
        </r>
      </text>
    </comment>
    <comment ref="D24" authorId="0" shapeId="0">
      <text>
        <r>
          <rPr>
            <b/>
            <sz val="9"/>
            <rFont val="Segoe UI"/>
            <family val="2"/>
          </rPr>
          <t>leonardo jose alves leal neri:</t>
        </r>
        <r>
          <rPr>
            <sz val="9"/>
            <rFont val="Segoe UI"/>
            <family val="2"/>
          </rPr>
          <t xml:space="preserve">
Comp. Auxiliar de manutenção de edificações</t>
        </r>
      </text>
    </comment>
    <comment ref="D26" authorId="1" shapeId="0">
      <text>
        <r>
          <rPr>
            <b/>
            <sz val="9"/>
            <rFont val="Segoe UI"/>
            <family val="2"/>
          </rPr>
          <t>Leo e Dan:</t>
        </r>
        <r>
          <rPr>
            <sz val="9"/>
            <rFont val="Segoe UI"/>
            <family val="2"/>
          </rPr>
          <t xml:space="preserve">
Comp. Oficial de Manutenção Predial</t>
        </r>
      </text>
    </comment>
    <comment ref="M26" authorId="1" shapeId="0">
      <text>
        <r>
          <rPr>
            <b/>
            <sz val="9"/>
            <rFont val="Segoe UI"/>
            <family val="2"/>
          </rPr>
          <t>Leo e Dan:</t>
        </r>
        <r>
          <rPr>
            <sz val="9"/>
            <rFont val="Segoe UI"/>
            <family val="2"/>
          </rPr>
          <t xml:space="preserve">
Apesar de não constar da proposta da empresa, esse posto tem o mesmo valor nominal dos postos de pedreiro e pintor.</t>
        </r>
      </text>
    </comment>
  </commentList>
</comments>
</file>

<file path=xl/comments2.xml><?xml version="1.0" encoding="utf-8"?>
<comments xmlns="http://schemas.openxmlformats.org/spreadsheetml/2006/main">
  <authors>
    <author>Leo e Dan</author>
  </authors>
  <commentList>
    <comment ref="E5" authorId="0" shapeId="0">
      <text>
        <r>
          <rPr>
            <b/>
            <sz val="9"/>
            <color indexed="81"/>
            <rFont val="Segoe UI"/>
            <family val="2"/>
          </rPr>
          <t>Leo e Dan:</t>
        </r>
        <r>
          <rPr>
            <sz val="9"/>
            <color indexed="81"/>
            <rFont val="Segoe UI"/>
            <family val="2"/>
          </rPr>
          <t xml:space="preserve">
p. 34</t>
        </r>
      </text>
    </comment>
    <comment ref="F5" authorId="0" shapeId="0">
      <text>
        <r>
          <rPr>
            <b/>
            <sz val="9"/>
            <color indexed="81"/>
            <rFont val="Segoe UI"/>
            <family val="2"/>
          </rPr>
          <t>Leo e Dan:</t>
        </r>
        <r>
          <rPr>
            <sz val="9"/>
            <color indexed="81"/>
            <rFont val="Segoe UI"/>
            <family val="2"/>
          </rPr>
          <t xml:space="preserve">
p.14</t>
        </r>
      </text>
    </comment>
    <comment ref="G5" authorId="0" shapeId="0">
      <text>
        <r>
          <rPr>
            <b/>
            <sz val="9"/>
            <color indexed="81"/>
            <rFont val="Segoe UI"/>
            <family val="2"/>
          </rPr>
          <t>Leo e Dan:</t>
        </r>
        <r>
          <rPr>
            <sz val="9"/>
            <color indexed="81"/>
            <rFont val="Segoe UI"/>
            <family val="2"/>
          </rPr>
          <t xml:space="preserve">
p. 86</t>
        </r>
      </text>
    </comment>
    <comment ref="D6" authorId="0" shapeId="0">
      <text>
        <r>
          <rPr>
            <b/>
            <sz val="9"/>
            <color indexed="81"/>
            <rFont val="Segoe UI"/>
            <family val="2"/>
          </rPr>
          <t>Leo e Dan:</t>
        </r>
        <r>
          <rPr>
            <sz val="9"/>
            <color indexed="81"/>
            <rFont val="Segoe UI"/>
            <family val="2"/>
          </rPr>
          <t xml:space="preserve">
Pg. 100</t>
        </r>
      </text>
    </comment>
    <comment ref="E6" authorId="0" shapeId="0">
      <text>
        <r>
          <rPr>
            <b/>
            <sz val="9"/>
            <color indexed="81"/>
            <rFont val="Segoe UI"/>
            <family val="2"/>
          </rPr>
          <t>Leo e Dan:</t>
        </r>
        <r>
          <rPr>
            <sz val="9"/>
            <color indexed="81"/>
            <rFont val="Segoe UI"/>
            <family val="2"/>
          </rPr>
          <t xml:space="preserve">
p. 36</t>
        </r>
      </text>
    </comment>
    <comment ref="F6" authorId="0" shapeId="0">
      <text>
        <r>
          <rPr>
            <b/>
            <sz val="9"/>
            <color indexed="81"/>
            <rFont val="Segoe UI"/>
            <family val="2"/>
          </rPr>
          <t>Leo e Dan:</t>
        </r>
        <r>
          <rPr>
            <sz val="9"/>
            <color indexed="81"/>
            <rFont val="Segoe UI"/>
            <family val="2"/>
          </rPr>
          <t xml:space="preserve">
p.14</t>
        </r>
      </text>
    </comment>
    <comment ref="G6" authorId="0" shapeId="0">
      <text>
        <r>
          <rPr>
            <b/>
            <sz val="9"/>
            <color indexed="81"/>
            <rFont val="Segoe UI"/>
            <family val="2"/>
          </rPr>
          <t>Leo e Dan:</t>
        </r>
        <r>
          <rPr>
            <sz val="9"/>
            <color indexed="81"/>
            <rFont val="Segoe UI"/>
            <family val="2"/>
          </rPr>
          <t xml:space="preserve">
p. 66</t>
        </r>
      </text>
    </comment>
    <comment ref="H6" authorId="0" shapeId="0">
      <text>
        <r>
          <rPr>
            <b/>
            <sz val="9"/>
            <color indexed="81"/>
            <rFont val="Segoe UI"/>
            <family val="2"/>
          </rPr>
          <t>Leo e Dan:</t>
        </r>
        <r>
          <rPr>
            <sz val="9"/>
            <color indexed="81"/>
            <rFont val="Segoe UI"/>
            <family val="2"/>
          </rPr>
          <t xml:space="preserve">
p. 12</t>
        </r>
      </text>
    </comment>
    <comment ref="E7" authorId="0" shapeId="0">
      <text>
        <r>
          <rPr>
            <b/>
            <sz val="9"/>
            <color indexed="81"/>
            <rFont val="Segoe UI"/>
            <family val="2"/>
          </rPr>
          <t>Leo e Dan:</t>
        </r>
        <r>
          <rPr>
            <sz val="9"/>
            <color indexed="81"/>
            <rFont val="Segoe UI"/>
            <family val="2"/>
          </rPr>
          <t xml:space="preserve">
p. 38</t>
        </r>
      </text>
    </comment>
    <comment ref="F7" authorId="0" shapeId="0">
      <text>
        <r>
          <rPr>
            <b/>
            <sz val="9"/>
            <color indexed="81"/>
            <rFont val="Segoe UI"/>
            <family val="2"/>
          </rPr>
          <t>Leo e Dan:</t>
        </r>
        <r>
          <rPr>
            <sz val="9"/>
            <color indexed="81"/>
            <rFont val="Segoe UI"/>
            <family val="2"/>
          </rPr>
          <t xml:space="preserve">
p.14</t>
        </r>
      </text>
    </comment>
    <comment ref="G7" authorId="0" shapeId="0">
      <text>
        <r>
          <rPr>
            <b/>
            <sz val="9"/>
            <color indexed="81"/>
            <rFont val="Segoe UI"/>
            <family val="2"/>
          </rPr>
          <t>Leo e Dan:</t>
        </r>
        <r>
          <rPr>
            <sz val="9"/>
            <color indexed="81"/>
            <rFont val="Segoe UI"/>
            <family val="2"/>
          </rPr>
          <t xml:space="preserve">
p. 62</t>
        </r>
      </text>
    </comment>
    <comment ref="H7" authorId="0" shapeId="0">
      <text>
        <r>
          <rPr>
            <b/>
            <sz val="9"/>
            <color indexed="81"/>
            <rFont val="Segoe UI"/>
            <family val="2"/>
          </rPr>
          <t>Leo e Dan:</t>
        </r>
        <r>
          <rPr>
            <sz val="9"/>
            <color indexed="81"/>
            <rFont val="Segoe UI"/>
            <family val="2"/>
          </rPr>
          <t xml:space="preserve">
P.12</t>
        </r>
      </text>
    </comment>
    <comment ref="F16" authorId="0" shapeId="0">
      <text>
        <r>
          <rPr>
            <b/>
            <sz val="9"/>
            <color indexed="81"/>
            <rFont val="Segoe UI"/>
            <family val="2"/>
          </rPr>
          <t>Leo e Dan:</t>
        </r>
        <r>
          <rPr>
            <sz val="9"/>
            <color indexed="81"/>
            <rFont val="Segoe UI"/>
            <family val="2"/>
          </rPr>
          <t xml:space="preserve">
p. 28</t>
        </r>
      </text>
    </comment>
    <comment ref="G16" authorId="0" shapeId="0">
      <text>
        <r>
          <rPr>
            <b/>
            <sz val="9"/>
            <color indexed="81"/>
            <rFont val="Segoe UI"/>
            <family val="2"/>
          </rPr>
          <t>Leo e Dan:</t>
        </r>
        <r>
          <rPr>
            <sz val="9"/>
            <color indexed="81"/>
            <rFont val="Segoe UI"/>
            <family val="2"/>
          </rPr>
          <t xml:space="preserve">
p. 41
</t>
        </r>
      </text>
    </comment>
    <comment ref="H16" authorId="0" shapeId="0">
      <text>
        <r>
          <rPr>
            <b/>
            <sz val="9"/>
            <color indexed="81"/>
            <rFont val="Segoe UI"/>
            <family val="2"/>
          </rPr>
          <t>Leo e Dan:</t>
        </r>
        <r>
          <rPr>
            <sz val="9"/>
            <color indexed="81"/>
            <rFont val="Segoe UI"/>
            <family val="2"/>
          </rPr>
          <t xml:space="preserve">
p. 128</t>
        </r>
      </text>
    </comment>
    <comment ref="E17" authorId="0" shapeId="0">
      <text>
        <r>
          <rPr>
            <b/>
            <sz val="9"/>
            <color indexed="81"/>
            <rFont val="Segoe UI"/>
            <family val="2"/>
          </rPr>
          <t>Leo e Dan:</t>
        </r>
        <r>
          <rPr>
            <sz val="9"/>
            <color indexed="81"/>
            <rFont val="Segoe UI"/>
            <family val="2"/>
          </rPr>
          <t xml:space="preserve">
p. 101</t>
        </r>
      </text>
    </comment>
    <comment ref="F17" authorId="0" shapeId="0">
      <text>
        <r>
          <rPr>
            <b/>
            <sz val="9"/>
            <color indexed="81"/>
            <rFont val="Segoe UI"/>
            <family val="2"/>
          </rPr>
          <t>Leo e Dan:</t>
        </r>
        <r>
          <rPr>
            <sz val="9"/>
            <color indexed="81"/>
            <rFont val="Segoe UI"/>
            <family val="2"/>
          </rPr>
          <t xml:space="preserve">
p. 28</t>
        </r>
      </text>
    </comment>
    <comment ref="G17" authorId="0" shapeId="0">
      <text>
        <r>
          <rPr>
            <b/>
            <sz val="9"/>
            <color indexed="81"/>
            <rFont val="Segoe UI"/>
            <family val="2"/>
          </rPr>
          <t>Leo e Dan:</t>
        </r>
        <r>
          <rPr>
            <sz val="9"/>
            <color indexed="81"/>
            <rFont val="Segoe UI"/>
            <family val="2"/>
          </rPr>
          <t xml:space="preserve">
p. 41</t>
        </r>
      </text>
    </comment>
    <comment ref="H17" authorId="0" shapeId="0">
      <text>
        <r>
          <rPr>
            <b/>
            <sz val="9"/>
            <color indexed="81"/>
            <rFont val="Segoe UI"/>
            <family val="2"/>
          </rPr>
          <t>Leo e Dan:</t>
        </r>
        <r>
          <rPr>
            <sz val="9"/>
            <color indexed="81"/>
            <rFont val="Segoe UI"/>
            <family val="2"/>
          </rPr>
          <t xml:space="preserve">
p. 113</t>
        </r>
      </text>
    </comment>
    <comment ref="I17" authorId="0" shapeId="0">
      <text>
        <r>
          <rPr>
            <b/>
            <sz val="9"/>
            <color indexed="81"/>
            <rFont val="Segoe UI"/>
            <family val="2"/>
          </rPr>
          <t>Leo e Dan:</t>
        </r>
        <r>
          <rPr>
            <sz val="9"/>
            <color indexed="81"/>
            <rFont val="Segoe UI"/>
            <family val="2"/>
          </rPr>
          <t xml:space="preserve">
p. 27</t>
        </r>
      </text>
    </comment>
    <comment ref="F18" authorId="0" shapeId="0">
      <text>
        <r>
          <rPr>
            <b/>
            <sz val="9"/>
            <color indexed="81"/>
            <rFont val="Segoe UI"/>
            <family val="2"/>
          </rPr>
          <t>Leo e Dan:</t>
        </r>
        <r>
          <rPr>
            <sz val="9"/>
            <color indexed="81"/>
            <rFont val="Segoe UI"/>
            <family val="2"/>
          </rPr>
          <t xml:space="preserve">
p. 28</t>
        </r>
      </text>
    </comment>
    <comment ref="G18" authorId="0" shapeId="0">
      <text>
        <r>
          <rPr>
            <b/>
            <sz val="9"/>
            <color indexed="81"/>
            <rFont val="Segoe UI"/>
            <family val="2"/>
          </rPr>
          <t>Leo e Dan:</t>
        </r>
        <r>
          <rPr>
            <sz val="9"/>
            <color indexed="81"/>
            <rFont val="Segoe UI"/>
            <family val="2"/>
          </rPr>
          <t xml:space="preserve">
p. 41</t>
        </r>
      </text>
    </comment>
    <comment ref="H18" authorId="0" shapeId="0">
      <text>
        <r>
          <rPr>
            <b/>
            <sz val="9"/>
            <color indexed="81"/>
            <rFont val="Segoe UI"/>
            <family val="2"/>
          </rPr>
          <t>Leo e Dan:</t>
        </r>
        <r>
          <rPr>
            <sz val="9"/>
            <color indexed="81"/>
            <rFont val="Segoe UI"/>
            <family val="2"/>
          </rPr>
          <t xml:space="preserve">
p. 110</t>
        </r>
      </text>
    </comment>
    <comment ref="I18" authorId="0" shapeId="0">
      <text>
        <r>
          <rPr>
            <b/>
            <sz val="9"/>
            <color indexed="81"/>
            <rFont val="Segoe UI"/>
            <family val="2"/>
          </rPr>
          <t>Leo e Dan:</t>
        </r>
        <r>
          <rPr>
            <sz val="9"/>
            <color indexed="81"/>
            <rFont val="Segoe UI"/>
            <family val="2"/>
          </rPr>
          <t xml:space="preserve">
p. 27</t>
        </r>
      </text>
    </comment>
  </commentList>
</comments>
</file>

<file path=xl/sharedStrings.xml><?xml version="1.0" encoding="utf-8"?>
<sst xmlns="http://schemas.openxmlformats.org/spreadsheetml/2006/main" count="7649" uniqueCount="1360">
  <si>
    <t>LOCAL DA ÁREA EDIFICADA</t>
  </si>
  <si>
    <t>METRAGEM (m²)</t>
  </si>
  <si>
    <t>Ed. Sede interna</t>
  </si>
  <si>
    <t>Ed. Sede externa</t>
  </si>
  <si>
    <t>Ed. Anexo interna</t>
  </si>
  <si>
    <t>Ed. Anexo externa</t>
  </si>
  <si>
    <t>Biblioteca</t>
  </si>
  <si>
    <t>Garagem interna</t>
  </si>
  <si>
    <t>Garagem externa</t>
  </si>
  <si>
    <t>Área total</t>
  </si>
  <si>
    <t>Dados para composição dos custos referentes a mão de obra</t>
  </si>
  <si>
    <t>Nº</t>
  </si>
  <si>
    <t>Tipo de posto</t>
  </si>
  <si>
    <t>Classificação Brasileira de Ocupações (CBO nº)</t>
  </si>
  <si>
    <t>Quantidade de Posto(s)</t>
  </si>
  <si>
    <t>Obs.</t>
  </si>
  <si>
    <t>Comparativo do custo mensal de contratação por posto</t>
  </si>
  <si>
    <t>Tipo de Posto</t>
  </si>
  <si>
    <t>TCDF 
(estimado)</t>
  </si>
  <si>
    <t xml:space="preserve">Média </t>
  </si>
  <si>
    <t>Mediana</t>
  </si>
  <si>
    <t>Menor entre Média e Mediana</t>
  </si>
  <si>
    <t>Diferença Verificada</t>
  </si>
  <si>
    <t>Observações:</t>
  </si>
  <si>
    <t>A elaboração do presente orçamento, conforme planilhas constantes do Termo de Referência, teve por base as orientações da Decisão TCDF nº 544/2010, tendo-se adotado como referência de preços  para alguns postos de serviço um valor ligeiramente acima do menor valor entre a média e a mediana dos preços pesquisados, por entender que tal montante é o que mais se aproxima do valor de mercado, considerando as especificações constantes do Termo de Referência. Frise-se que os valores orçados para a contratação irão cair após o processo licitatório, em razão de ajustes  ao valor proposto pelo licitante vencendor, em especial as rubricas relativas a uniformes, vale-transporte, RAT x FAP, custo de reposição do profissional ausente (módulo 4), despesas admistrativas, lucro e tributos.</t>
  </si>
  <si>
    <t>Dados para fins de comparação com o valor orçado.</t>
  </si>
  <si>
    <t xml:space="preserve">* Valores unitários atualizados conforme o percentual de reajuste salarial constante da Convenção Coletiva de Trabalho 2024/2024 da respectiva categoria. </t>
  </si>
  <si>
    <t xml:space="preserve">* * Valores unitários atualizados conforme o percentual de reajuste salarial constante da Convenção Coletiva de Trabalho 2023/2023 da respectiva categoria. </t>
  </si>
  <si>
    <t>Localidades</t>
  </si>
  <si>
    <t>A localidade de Brasília/DF inclui Asa Sul, Asa Norte, Lago Sul, Lago Norte, Noroeste, Sudoeste, SIA, SIG, SAAN, Cruzeiro e Octogonal</t>
  </si>
  <si>
    <t>Tarifas:</t>
  </si>
  <si>
    <t>Linhas com  contrato de Permissão, reajustadas com base na DELIBERAÇÃO Nº 244, DE 10 DE AGOSTO DE 2023, publicada no Diário Oficial da União de 11/08/2023, com entrada em vigor em 13/08/2023</t>
  </si>
  <si>
    <t>Linhas com  Autorização Especial, Convênio de Delegação nº 1/2020  reajustadas com base na DELIBERAÇÃO Nº 40, DE 21 DE FEVEREIRO DE 2024, publicada no Diário Oficial da União de 23/02/2024, com entrada em vigor em 25/02/2024</t>
  </si>
  <si>
    <t>Linhas com Autorização Especial reajustadas Deliberação nº 42, de 21 de fevereiro de 2024, publicada no Diário Oficial da União de 23/02/2024</t>
  </si>
  <si>
    <t>Linha Petrolina (PE) - Juazeiro (BA) reajustadas Deliberação nº 41, de 21 de fevereiro de 2024, no Diário Oficial da União de 23/02/2024</t>
  </si>
  <si>
    <t>Dados Operacionais</t>
  </si>
  <si>
    <t>EMPRESA</t>
  </si>
  <si>
    <t>CNPJ</t>
  </si>
  <si>
    <t>CÓDIGO LINHA</t>
  </si>
  <si>
    <t>PREFIXO     LINHA</t>
  </si>
  <si>
    <t>TIPO DE SERVIÇO</t>
  </si>
  <si>
    <t>NOME DA LINHA</t>
  </si>
  <si>
    <t xml:space="preserve">Localidade de ORIGEM </t>
  </si>
  <si>
    <t>UF origem</t>
  </si>
  <si>
    <t xml:space="preserve">Localidade de DESTINO </t>
  </si>
  <si>
    <t>UF destino</t>
  </si>
  <si>
    <t>Tipo de Outorga</t>
  </si>
  <si>
    <t>Tarifa 2024</t>
  </si>
  <si>
    <t>Observações</t>
  </si>
  <si>
    <t>AMAZÔNIA INTER TURISMO</t>
  </si>
  <si>
    <t>12.647.487/0001-88</t>
  </si>
  <si>
    <t xml:space="preserve">1001 </t>
  </si>
  <si>
    <t>12073070</t>
  </si>
  <si>
    <t>Urbano</t>
  </si>
  <si>
    <t xml:space="preserve">ROD. PLANALTINA (GO) – ROD. PLANO PILOTO VIA FEIRA / EIXO W NORTE </t>
  </si>
  <si>
    <t>PLANALTINA</t>
  </si>
  <si>
    <t>GO</t>
  </si>
  <si>
    <t>BRASILIA</t>
  </si>
  <si>
    <t>DF</t>
  </si>
  <si>
    <t>Autorização Especial</t>
  </si>
  <si>
    <t>-</t>
  </si>
  <si>
    <t>12073020</t>
  </si>
  <si>
    <t>diferenciado</t>
  </si>
  <si>
    <t xml:space="preserve">1002 </t>
  </si>
  <si>
    <t>PLANALTINA (GO)  PLANO PILOTO/DF VIA BARROLÃNDIA EIXO W NORTE/SUL</t>
  </si>
  <si>
    <t>1054</t>
  </si>
  <si>
    <t>PLANALTINA (GO) EIXO NORTE E SUL VIA MUTIRÃO</t>
  </si>
  <si>
    <t>1055</t>
  </si>
  <si>
    <t>PLANALTINA (GO) EIXO NORTE E SUL VIA PAINEIRAS</t>
  </si>
  <si>
    <t>1056</t>
  </si>
  <si>
    <t>PLANALTINA (GO) EIXO NORTE E SUL VIA IMIGRANTES</t>
  </si>
  <si>
    <t>1057</t>
  </si>
  <si>
    <t>PLANALTINA (GO) EIXO NORTE E SUL VIA SÃO JOSÉ</t>
  </si>
  <si>
    <t>1058</t>
  </si>
  <si>
    <t>PLANALTINA (GO) EIXO NORTE E SUL VIA SETOR OESTE / SUL</t>
  </si>
  <si>
    <t>1060</t>
  </si>
  <si>
    <t>PLANALTINA (GO) EIXO NORTE E SUL VIA NARA</t>
  </si>
  <si>
    <t>1061</t>
  </si>
  <si>
    <t>PLANALTINA (GO) EIXO NORTE E SUL VIA BRASILINHA 17</t>
  </si>
  <si>
    <t>1071</t>
  </si>
  <si>
    <t>PLANALTINA (GO) EIXO NORTE E SUL PARKSHOPPING (VIA PELEZÃO)</t>
  </si>
  <si>
    <t>1074</t>
  </si>
  <si>
    <t>PLANALTINA (GO) W3 NORTE E SUL ROD. PLANALTINA (GO)</t>
  </si>
  <si>
    <t xml:space="preserve"> 1102</t>
  </si>
  <si>
    <t>PLANALTINA (GO) LAGO NORTE VIA ROD. PLANALTINA (GO)</t>
  </si>
  <si>
    <t>1301</t>
  </si>
  <si>
    <t>PLANALTINA (GO) S I A ROD. PLANALTINA (GO)</t>
  </si>
  <si>
    <t>1322</t>
  </si>
  <si>
    <t>PLANALTINA (GO) SETOR GRÁFICO VIA MUTIRÃO</t>
  </si>
  <si>
    <t xml:space="preserve">1323 </t>
  </si>
  <si>
    <t>PLANALTINA (GO) SETOR GRÁFICO VIA SETOR OESTE / SUL</t>
  </si>
  <si>
    <t>1324</t>
  </si>
  <si>
    <t>PLANALTINA (GO) SETOR GRÁFICO VIA ROD. PLANALTINA (GO)</t>
  </si>
  <si>
    <t>1326</t>
  </si>
  <si>
    <t>PLANALTINA (GO) NOROESTE VIA ROD. PLANALTINA (GO)</t>
  </si>
  <si>
    <t>1327</t>
  </si>
  <si>
    <t>PLANALTINA (GO) NOROESTE VIA MUTIRÃO</t>
  </si>
  <si>
    <t>1901</t>
  </si>
  <si>
    <t>PLANALTINA (GO)  SOBRADINHO VIA ROD. PLANALTINA (GO)</t>
  </si>
  <si>
    <t>SOBRADINHO</t>
  </si>
  <si>
    <t>1902</t>
  </si>
  <si>
    <t>PLANALTINA (GO)  SOBRADINHO GRANDE COLORADO (VIA BELA VISTA)</t>
  </si>
  <si>
    <t>1950</t>
  </si>
  <si>
    <t>12107070</t>
  </si>
  <si>
    <t>PLANALTINA (GO) PLANALTINA (DF) VIA ESTÂNCIA</t>
  </si>
  <si>
    <t>1952</t>
  </si>
  <si>
    <t>PLANALTINA (GO) PLANALTINA (DF) VIA RORIZ</t>
  </si>
  <si>
    <t>9901</t>
  </si>
  <si>
    <t>12033870</t>
  </si>
  <si>
    <t>ROD. FORMOSA – ROD. PLANALTINA (DF) VIA BR-020 / JD. RORIZ</t>
  </si>
  <si>
    <t>FORMOSA</t>
  </si>
  <si>
    <t>AUTO VIAÇÃO BRAGANÇA LTDA</t>
  </si>
  <si>
    <t>45.605.755/0001-58</t>
  </si>
  <si>
    <t>08058770</t>
  </si>
  <si>
    <t>AGUAS DE LINDÓIA/SP - MONTE SIÃO/MG</t>
  </si>
  <si>
    <t>ÁGUAS DE LINDOIA</t>
  </si>
  <si>
    <t>SP</t>
  </si>
  <si>
    <t>MONTE SIÃO</t>
  </si>
  <si>
    <t>MG</t>
  </si>
  <si>
    <t>AUTO VIAÇÃO CAMBUI LTDA</t>
  </si>
  <si>
    <t>19.339.415/0001-12</t>
  </si>
  <si>
    <t>06014570</t>
  </si>
  <si>
    <t>EXTREMA/MG - BRAGANÇA PAULISTA/SP</t>
  </si>
  <si>
    <t>EXTREMA</t>
  </si>
  <si>
    <t>BRAGANÇA PAULISTA</t>
  </si>
  <si>
    <t>CENTRAL EXPRESSO LTDA</t>
  </si>
  <si>
    <t>13.838.047/0001-70</t>
  </si>
  <si>
    <t>LUZIÂNIA (LUZIÂNIA SHOPPING - AV. ALFREDO NASSER) / RODOVIÁRIA DO PLANO PILOTO (BR-040 - ZOOLÓGICO - EIXO)</t>
  </si>
  <si>
    <t>LUZIANIA</t>
  </si>
  <si>
    <t>LUZIÂNIA (LUZIÂNIA SHOPPING - AV. ALFREDO NASSER) / GUARÁ I E II (BR-040 - PARK SHOPPING)</t>
  </si>
  <si>
    <t>LUZIÂNIA (LUZIÂNIA SHOPPING - AV. ALFREDO NASSER) / LAGO SUL (BR-040 - AEROPORTO)</t>
  </si>
  <si>
    <t>LUZIÂNIA (SHOPPING LUZIÂNIA - PARQUE JK - PARQUE ALVORADA I) / RODOVIÁRIA DO PLANO PILOTO (BR-040 - PARK SHOPPING - EIXO)</t>
  </si>
  <si>
    <t>LUZIÂNIA (LUZIÂNIA SHOPPING - AV. ALFREDO NASSER) / RODOVIÁRIA DO PLANO PILOTO (BR-040 - PARK SHOPPING - EIXO SUL)</t>
  </si>
  <si>
    <t>PARQUE ESTRELA DALVA II - IV - VIII - V (AV. ALFREDO NASSER) / RODOVIÁRIA DO PLANO PILOTO (BR-040 - PARK SHOPPING - SPS - ZOOLÓGICO - EIXO)</t>
  </si>
  <si>
    <t>LUZIÂNIA (LUZIÂNIA SHOPPING - AV. ALFREDO NASSER) / RODOVIÁRIA DO PLANO PILOTO (BR-040 - ZOOLÓGICO - EIXO - ESPLANADA)</t>
  </si>
  <si>
    <t>LUZIÂNIA (PARQUE ESTRELA DALVA I - JARDIM LUZILIA - SOL NASCENTE) / RODOVIÁRIA DO PLANO PILOTO (BR-040 - ZOOLÓGICO - EIXO)</t>
  </si>
  <si>
    <t>PARQUE ESTRELA DALVA 2, 4, 8 E 5 (AV. ALFREDO NASSER) / W3 NORTE (BR-040 - PARK SHOPPING - SPS - EIXO)</t>
  </si>
  <si>
    <t>LUZIÂNIA (SHOPPING LUZIÂNIA - PARQUE JK - PARQUE ALVORADA I ) / W3 SUL E NORTE (BR-040 - PARK SHOPPING - SPS)</t>
  </si>
  <si>
    <t>LUZIÂNIA (SHOPPING LUZIÂNIA - AV. ALFREDO NASSER) / W3 SUL E NORTE (BR-040 - PARK SHOPPING - SPS)</t>
  </si>
  <si>
    <t xml:space="preserve">ROD. LUZIÂNIA/GO - POLO JK SANTA MARIA  VIA BR 040 </t>
  </si>
  <si>
    <t>LUZIÂNIA (PARQUE ESTRELA DALVA I - JARDIM LUZILIA - SOL NASCENTE) / W3 NORTE (BR-040 - PARK SHOPPING - SIG)</t>
  </si>
  <si>
    <t>ROD. LUZIANIA/GO - BRT SANTA MARIA VIA BR 040</t>
  </si>
  <si>
    <t>LUZIÂNIA (SHOPPING LUZIÂNIA - AV. ALFREDO NASSER) / RODOVIÁRIA DO GAMA (BR-040 - SETOR CENTRAL)</t>
  </si>
  <si>
    <t>GAMA</t>
  </si>
  <si>
    <t>LUZIÂNIA (SHOPPING LUZIÂNIA - AV. ALFREDO NASSER) / TERMINAL DE INTEGRAÇÃO SANTA MARIA (AVENIDA ALAGADO)</t>
  </si>
  <si>
    <t>ROD. LUZIÂNIA/GO - POLO JK SANTA MARIA  VIA BR 040</t>
  </si>
  <si>
    <t>TAGUATINGA</t>
  </si>
  <si>
    <t>LUZIÂNIA (SHOPPING LUZIÂNIA - AV. ALFREDO NASSER) / ÁGUAS CLARAS (BR-040 - EPCT - EPNB - PISTÃO SUL)</t>
  </si>
  <si>
    <t>CIRCULAR NOSSA SENHORA APARECIDA LTDA</t>
  </si>
  <si>
    <t>03.339.033/0001-59</t>
  </si>
  <si>
    <t>BARRA DO GARÇA/MT - ARAGARÇAS/GO, VIA VILA CEARÁ</t>
  </si>
  <si>
    <t>BARRA DO GARÇA</t>
  </si>
  <si>
    <t>MT</t>
  </si>
  <si>
    <t>ARAGARÇAS</t>
  </si>
  <si>
    <t>BARRA DO GARÇA/MT - ARAGARÇAS/GO, VIA BELA VISTA</t>
  </si>
  <si>
    <t>BARRA DO GARÇA/MT - ARAGARÇAS/GO, VIA CURTUME</t>
  </si>
  <si>
    <t>INATIVA</t>
  </si>
  <si>
    <t>EMPRESA PRINCESA DO NORTE S/A</t>
  </si>
  <si>
    <t>81.159.857/0001-50</t>
  </si>
  <si>
    <t>PLATINA SHOPPING – OURINHOS VIA ROD. S. A. PLATINA, JACAREZINHO E PONTE NOVA</t>
  </si>
  <si>
    <t>SANTO ANTÔNIO DA PLATINA</t>
  </si>
  <si>
    <t>PR</t>
  </si>
  <si>
    <t>OURINHOS</t>
  </si>
  <si>
    <t>PLATINA SHOPPING – OURINHOS VIA ROD. S. A. PLATINA, JACAREZINHO E PONTE VELHA</t>
  </si>
  <si>
    <t>JACAREZINHO</t>
  </si>
  <si>
    <t>EXPRESSO ADAMANTINA LTDA</t>
  </si>
  <si>
    <t>43.004.159/0001-97</t>
  </si>
  <si>
    <t>ANDRADINA/SP - TRES LAGOAS/MS</t>
  </si>
  <si>
    <t>ANDRADINA</t>
  </si>
  <si>
    <t>TRES LAGOAS</t>
  </si>
  <si>
    <t>MS</t>
  </si>
  <si>
    <t>CASTILHO</t>
  </si>
  <si>
    <t>EXPRESSO SÃO BENTO LTDA</t>
  </si>
  <si>
    <t>76.544.501/0001-09</t>
  </si>
  <si>
    <t>9000871</t>
  </si>
  <si>
    <t>AGUDOS DO SUL/PR - SAO BENTO DO SUL/SC</t>
  </si>
  <si>
    <t>AGUDOS DO SUL</t>
  </si>
  <si>
    <t>SAO BENTO DO SUL</t>
  </si>
  <si>
    <t>SC</t>
  </si>
  <si>
    <t>JOAFRA TRANSPORTE LTDA</t>
  </si>
  <si>
    <t>04.257.238/0001-58</t>
  </si>
  <si>
    <t xml:space="preserve">JUAZEIRO - PETROLINA VIA CENTRO PETRO/SHOPPING </t>
  </si>
  <si>
    <t>PETROLINA</t>
  </si>
  <si>
    <t>PE</t>
  </si>
  <si>
    <t>JUAZEIRO</t>
  </si>
  <si>
    <t>BA</t>
  </si>
  <si>
    <t xml:space="preserve">JUAZEIRO - PETROLINA VIA CENTRO/AREIA BRANCA </t>
  </si>
  <si>
    <t xml:space="preserve">JUAZEIRO - PETROLINA VIA IF SERTÃO / IPSEP </t>
  </si>
  <si>
    <t xml:space="preserve">JUAZEIRO - PETROLINA VIA EXPRESSO CENTRO PETROLINA </t>
  </si>
  <si>
    <t xml:space="preserve">JUAZEIRO - PETROLINA VIA CORUJÃO </t>
  </si>
  <si>
    <t xml:space="preserve">JUAZEIRO - PETROLINA VIA CAMPUS UNIVERSITÁRIO </t>
  </si>
  <si>
    <t xml:space="preserve">JUAZEIRO - PETROLINA VIA AVENIDA DA INTEGRAÇÃO/ FACAPE </t>
  </si>
  <si>
    <t xml:space="preserve">JUAZEIRO - PETROLINA  </t>
  </si>
  <si>
    <t>PETROLINA (PE) - JUAZEIRO (BA)</t>
  </si>
  <si>
    <t>KANDANGO (CATEDRAL TURISMO)</t>
  </si>
  <si>
    <t>03.233.439/0001-52</t>
  </si>
  <si>
    <t>JARDIM INGÁ (AV. LUCENA RORIZ) / RODOVIÁRIA DO PLANO PILOTO (ZOOLÓGICO - EIXO SUL)</t>
  </si>
  <si>
    <t>JARDIM INGÁ (AV. LUCENA RORIZ) / L2 SUL E NORTE (ZOOLÓGICO - UNB - SETOR NORESTE)</t>
  </si>
  <si>
    <t>JARDIM INGÁ - ROD. PLANO PILOTO VIA VIA PARKSHOPPING</t>
  </si>
  <si>
    <t>6003E</t>
  </si>
  <si>
    <t>Semiexpresso</t>
  </si>
  <si>
    <t>JARDIM INGÁ (AV. LUCENA RORIZ) / RODOVIÁRIA DO PLANO PILOTO (PARK SHOPPING - SPS - EIXO SUL) - SEMIEXPRESSA</t>
  </si>
  <si>
    <t>JARDIM INGÁ (PARQUE ESTRELA DALVA X) / RODOVIÁRIA DO PLANO PILOTO (ZOOLÓGICO - EIXO SUL)</t>
  </si>
  <si>
    <t>JARDIM INGÁ - ROD. PLANO PILOTO VIA VIA PARKSHOPPING/P.E.D. 10</t>
  </si>
  <si>
    <t>JARDIM INGÁ - ROD. PLANO PILOTO VIA VIA EIXO W /P.E.D. 08</t>
  </si>
  <si>
    <t>JARDIM INGÁ - ROD. PLANO PILOTO VIA VIA PARKSHOPPING/P.E.D. 8</t>
  </si>
  <si>
    <t>SOL NASCENTE - ROD. PLANO PILOTO VIA VIA EIXO W / ZOOLOGICO</t>
  </si>
  <si>
    <t>JARDIM INGÁ - ESPLANADA VIA JARDIM MARILIA / VIA EIXO W</t>
  </si>
  <si>
    <t>JARDIM INGÁ - ROD. PLANO PILOTO VIA JARDIM MARILIA / VIA EIXO W</t>
  </si>
  <si>
    <t>JARDIM INGÁ - ROD. PLANO PILOTO VIA JARDIM ZULEICA VIA EIXO W</t>
  </si>
  <si>
    <t>JARDIM INGÁ (SOL NASCENTE - CIDADE INDUSTRIAL FRACAROLI) / RODOVIÁRIA DO PLANO PILOTO (PARK SHOPPING - SPS - EIXO SUL)</t>
  </si>
  <si>
    <t>6026E</t>
  </si>
  <si>
    <t>JARDIM INGÁ (SOL NASCENTE - CIDADE INDUSTRIAL FRACAROLI) / RODOVIÁRIA DO PLANO PILOTO (PARK SHOPPING - SPS - EIXO SUL) - SEMIEXPRESSA</t>
  </si>
  <si>
    <t>6051E</t>
  </si>
  <si>
    <t>JARDIM INGÁ (PARQUE ESTRELA DALVA X) / RODOVIÁRIA DO PLANO PILOTO (ZOOLÓGICO - EIXO SUL - ESPLANADA) - SEMIEXPRESSA</t>
  </si>
  <si>
    <t>6052E</t>
  </si>
  <si>
    <t>JARDIM INGÁ (AV. LUCENA RORIZ) / RODOVIÁRIA DO PLANO PILOTO (ZOOLÓGICO - EIXO SUL - ESPLANADA) - SEMIEXPRESSA</t>
  </si>
  <si>
    <t>6053E</t>
  </si>
  <si>
    <t>JARDIM INGÁ (AV. LUCENA RORIZ) / ESPLANADA (EPIA - SIG - EIXO MONUMENTAL) - SEMIEXPRESSA</t>
  </si>
  <si>
    <t>JARDIM INGÁ - W3 NORTE E SUL, VIA PARKSHOPPING/EPIG/SETOR POLICIAL</t>
  </si>
  <si>
    <t>6070E</t>
  </si>
  <si>
    <t>JARDIM INGÁ - W3 NORTE E SUL, VIA PARKSHOPPING/EPIG/SETOR POLICIAL - SEMIEXPRESSA</t>
  </si>
  <si>
    <t>JARDIM INGÁ - W3 NORTE VIA SETOR GRÁFICO / P.E.D. 08</t>
  </si>
  <si>
    <t>6071E</t>
  </si>
  <si>
    <t>JARDIM INGÁ - W3 NORTE VIA SETOR GRÁFICO / P.E.D. 08 - SEMIEXPRESSA</t>
  </si>
  <si>
    <t>JARDIM INGÁ (SOL NASCENTE - CIDADE INDUSTRIAL FRACAROLI) / W3 NORTE (EPIA - PARK SHOPPING - SIG)</t>
  </si>
  <si>
    <t>JARDIM INGÁ - W3 SUL E NORTE VIA VIA PARKSHOPPING/P.E.D. 8</t>
  </si>
  <si>
    <t>6073E</t>
  </si>
  <si>
    <t>JARDIM INGÁ (AV. LUCENA RORIZ) / W3 NORTE (EPIA - PARK SHOPPING - SIG) / SETOR NOROESTE - SEMIEXPRESSA</t>
  </si>
  <si>
    <t>JARDIM INGÁ (AV. LUCENA RORIZ) / W3 SUL E NORTE / SETOR NOROESTE</t>
  </si>
  <si>
    <t>6074E</t>
  </si>
  <si>
    <t>JARDIM INGÁ (AV. LUCENA RORIZ) / W3 SUL E NORTE / SETOR NOROESTE - SEMIEXPRESSA</t>
  </si>
  <si>
    <t>6075E</t>
  </si>
  <si>
    <t>JARDIM INGÁ (PARQUE ESTRELA DALVA X) / W3 SUL E NORTE (PARK SHOPPING - SPS) / SETOR NOROESTE - SEMIEXPRESSA</t>
  </si>
  <si>
    <t>6076E</t>
  </si>
  <si>
    <t>JARDIM INGÁ (AV. LUCENA RORIZ) / W3 SUL E NORTE (BR-040 - EPDB) - SEMIEXPRESSA</t>
  </si>
  <si>
    <t>JARDIM INGÁ - S I A/SAAN</t>
  </si>
  <si>
    <t>6302E</t>
  </si>
  <si>
    <t>JARDIM INGÁ (AV. LUCENA RORIZ) / SIA-SAAN (EPIA) - SEMIEXPRESSA</t>
  </si>
  <si>
    <t>SOL NASCENTE - S I A/ SAAN, VIA PARKSHOPPING</t>
  </si>
  <si>
    <t>JARDIM INGÁ - S I G VIA EPIG</t>
  </si>
  <si>
    <t>JARDIM INGÁ (CNTI) - ROD. PLANO PILOTO VIA EPGU/ZOOLOGICO</t>
  </si>
  <si>
    <t>JARDIM INGÁ (AV. LUCENA RORIZ - AV. JOAQUIM GILBERTO) / LAGO SUL (AEROPORTO)</t>
  </si>
  <si>
    <t>6078E</t>
  </si>
  <si>
    <t>JARDIM INGÁ (AV. LUCENA RORIZ - AV. JOAQUIM GILBERTO) / LAGO SUL (AEROPORTO) - SEMIEXPRESSA</t>
  </si>
  <si>
    <t>JARDIM INGÁ - GUARÁ VIA SIG</t>
  </si>
  <si>
    <t>6079E</t>
  </si>
  <si>
    <t>JARDIM INGÁ - GUARÁ VIA SIG - SEMIEXPRESSA</t>
  </si>
  <si>
    <t>6080E</t>
  </si>
  <si>
    <t>JARDIM INGÁ (AV. LUCENA RORIZ) / SETOR NOROESTE (EPDB - W3 SUL E NORTE) - SEMIEXPRESSA</t>
  </si>
  <si>
    <t>6081E</t>
  </si>
  <si>
    <t>JARDIM INGÁ (AV. LUCENA RORIZ) / GUARÁ I E II / SOF SUL - SEMIEXPRESSA</t>
  </si>
  <si>
    <t>JARDIM INGÁ - TAGUATINGA VIA P.E.D. 10/ PISTÃO SUL/ROD. TAGUATINGA</t>
  </si>
  <si>
    <t xml:space="preserve">JARDIM INGÁ (PARQUE ESTRELA DALVA X) / ÁGUAS CLARAS (BR-040 - EPCT - PISTÃO SUL)  </t>
  </si>
  <si>
    <t>JARDIM INGÁ (PARQUE ESTRELA DALVA X) / ÁGUAS CLARAS  (BR-040 - EPCT - PISTÃO SUL - TAGUATINGA CENTRO)</t>
  </si>
  <si>
    <t>JARDIM INGÁ (AV. LUCENA RORIZ) / RODOVIÁRIA DE TAGUATINGA NORTE (BR-040 - EPCT - PISTÃO SUL - TAGUATINGA CENTRO)</t>
  </si>
  <si>
    <t>JARDIM INGÁ - TAGUATINGA VIA ÁGUAS CLARAS</t>
  </si>
  <si>
    <t>JARDIM INGÁ - GAMA CENTRO, VIA SETOR SUL E LESTE</t>
  </si>
  <si>
    <t>JARDIM INGÁ (PARQUE ESTRELA DALVA X) / RODOVIÁRIA DO GAMA(SETOR CENTRAL)</t>
  </si>
  <si>
    <t>RÁPIDO LUXO CAMPINAS LTDA</t>
  </si>
  <si>
    <t>45.992.724/0001-05</t>
  </si>
  <si>
    <t>ANDRADAS(MG) - SAO JOAO DA BOA VISTA(SP) Via S.A.JARDIM</t>
  </si>
  <si>
    <t>ANDRADAS</t>
  </si>
  <si>
    <t>SAO JOAO DA BOA VISTA</t>
  </si>
  <si>
    <t>03.103.551/0001-79</t>
  </si>
  <si>
    <t>NOVO GAMA (SANTA LUZIA - LAGO AZUL) / RODOVIÁRIA DO PLANO PILOTO (PARK SHOPPING - SPS - EIXO SUL)</t>
  </si>
  <si>
    <t>NOVO GAMA (SANTA LUZIA - LAGO AZUL) / RODOVIÁRIA DO PLANO PILOTO (PARK SHOPPING - ZOOLÓGICO - EIXO SUL)</t>
  </si>
  <si>
    <t>NOVO GAMA (RESIDENCIAL BRASÍLIA - SANTA LUZIA - LAGO AZUL) / RODOVIÁRIA DO PLANO PILOTO (PARK SHOPPING - EIXO SUL - ESPLANADA)</t>
  </si>
  <si>
    <t>NOVO GAMA (LUNABEL) / RODOVIÁRIA DO PLANO PILOTO (PARK SHOPPING - ZOOLÓGICO - EIXO SUL)</t>
  </si>
  <si>
    <t>NOVO GAMA (RESIDENCIAL BRASÍLIA - SANTA LUZIA - LAGO AZUL) / RODOVIÁRIA DO PLANO PILOTO (PARK SHOPPING - SPS - EIXO SUL)</t>
  </si>
  <si>
    <t>NOVO GAMA (AMÉRICA DO SUL - ALVORADA - LUNABEL) / RODOVIÁRIA DO PLANO PILOTO (PARK SHOPPING - ZOOLÓGICO - EIXO SUL - ESPLANADA)</t>
  </si>
  <si>
    <t>NOVO GAMA (SANTA LUZIA - LAGO AZUL) / W3 SUL E NORTE (PARK SHOPPING - SPS) / SETOR NOROESTE</t>
  </si>
  <si>
    <t>NOVO GAMA (AMÉRICA DO SUL - ALVORADA - LUNABEL) / W3 SUL E NORTE (PARK SHOPPING - SPS) / SETOR NOROESTE</t>
  </si>
  <si>
    <t>NOVO GAMA (RESIDENCIAL BRASÍLIA - SANTA LUZIA - LAGO AZUL) / W3 SUL E NORTE (AEROPORTO - EPAR) / SETOR NOROESTE</t>
  </si>
  <si>
    <t>NOVO GAMA (LAGO AZUL) / RODOVIÁRIA DO PLANO PILOTO (EPIA - PARK SHOPPING - SIG)</t>
  </si>
  <si>
    <t>NOVO GAMA (RESIDENCIAL BRASÍLIA - SANTA LUZIA - LAGO AZUL) / LAGO SUL (AEROPORTO) / RODOVIÁRIA DO PLANO PILOTO (ESPLANADA)</t>
  </si>
  <si>
    <t>NOVO GAMA (SANTA LUZIA - LAGO AZUL) / W3 NORTE (EPIA - PARK SHOPPING - SIG) / SETOR NOROESTE</t>
  </si>
  <si>
    <t>NOVO GAMA (RESIDENCIAL BRASÍLIA - SANTA LUZIA - LAGO AZUL) / L2 NORTE (EPIA - PARK SHOPPING - SIG - ESPLANADA) / SETOR NOROESTE</t>
  </si>
  <si>
    <t>NOVO GAMA (RESIDENCIAL BRASÍLIA - SANTA LUZIA - LAGO AZUL) / SIA-SAAN-SOFN (EPIA - PARK SHOPPING) / SETOR NOROESTE</t>
  </si>
  <si>
    <t>NOVO GAMA (AMÉRICA DO SUL - ALVORADA) / SIA-SAAN (EPIA - PARK SHOPPING) / SOFN</t>
  </si>
  <si>
    <t>4040E</t>
  </si>
  <si>
    <t>4041E</t>
  </si>
  <si>
    <t>4322E</t>
  </si>
  <si>
    <t>4331E</t>
  </si>
  <si>
    <t>4094E</t>
  </si>
  <si>
    <t>TAGUATUR TAGUATINGA TRANSPORTES E TURISMO LTDA</t>
  </si>
  <si>
    <t>06.048.466/0005-77</t>
  </si>
  <si>
    <t>ROYAL PARK - ROD. PLANO PILOTO VIA SETOR POLICIAL / EIXO W</t>
  </si>
  <si>
    <t>AGUAS LINDAS DE GOIAS</t>
  </si>
  <si>
    <t>ROYAL PARK - ROD. PLANO PILOTO VIA ESTRUTURAL / W3 NORTE / L2 NORTE</t>
  </si>
  <si>
    <t xml:space="preserve">SANTA LUCIA - ROD. P.PILOTO VIA EPTG / GUARÁ 1-2 / SETOR GRÁFICO </t>
  </si>
  <si>
    <t xml:space="preserve">SANTA LUCIA - ROD. PLANO PILOTO VIA ESTRUTURAL / EIXO MONUMENTAL </t>
  </si>
  <si>
    <t xml:space="preserve">ROYAL PARK - ESPLANADA VIA ESTRUTURAL / ROD. PLANO PILOTO </t>
  </si>
  <si>
    <t>SANTA LUCIA - ESPLANADA  VIA ESTRUTURAL / ROD. PLANO PILOTO</t>
  </si>
  <si>
    <t>SANTA LUCIA - W3 NORTE VIA ESTRUTURAL / EIXO NORTE / ROD. P.PILOTO</t>
  </si>
  <si>
    <t xml:space="preserve">SANTA LUCIA - S I A VIA SETOR POLICIAL / EIXO SUL / OCTOGONAL / ROD. PLANO PILOTO </t>
  </si>
  <si>
    <t>SANTA LUCIA - S I G VIA EPTG / BR-070 / ROD. PLANO PILOTO</t>
  </si>
  <si>
    <t>SANTA LUCIA - NOROESTE VIA ESTRUTURAL / EIXO MONUMENTAL / W3 NORTE</t>
  </si>
  <si>
    <t>12041470</t>
  </si>
  <si>
    <t>QUEIROZ/ VILA PARAÍSO/ VILA SÃO LUIZ - ROD. PLANO PILOTO, VIA EIXO</t>
  </si>
  <si>
    <t>SANTO ANTONIO DO DESCOBERTO</t>
  </si>
  <si>
    <t>ROD. CENTRO/VILA SAO LUIZ - ROD. PLANO PILOTO, VIA EIXO</t>
  </si>
  <si>
    <t>ROD. CENTRO/VILA SAO LUIZ - ÁGUAS CLARAS/GUARA/ROD. PLANO PILOT, VIA EPTG</t>
  </si>
  <si>
    <t>JARDIM DE ALA/PED XI - W3 SUL E NORTE</t>
  </si>
  <si>
    <t>ROD.QUEIROZ/BEATRIZ/PARQUE SANTO ANTONIO - ROD. PLANO PILOTO,  VIA EIXO</t>
  </si>
  <si>
    <t>VILA SÃO LUIZ/QUEIROZ/M. NOBRE/PARQUE S.ANTONIO - PARKSHOPPING/SETOR POLICIAL/W3 SUL</t>
  </si>
  <si>
    <t>PARQUE S.ANTONIO/MORADANOBRE/BETARIZ/QUEIROZ - ROD. PLANO PILOTO,  VIA EIXO</t>
  </si>
  <si>
    <t>VILA SÃO LUIZ/QUEIROZ/M. NOBRE/PARQUE S. ANTONIO - ROD. PLANO PILOTO</t>
  </si>
  <si>
    <t>ROD. CENTRO/VILA SAO LUIZ - ESPLANADA/ROD. PLANO PILOTO -  VIA EIXO</t>
  </si>
  <si>
    <t xml:space="preserve">ROD. CENTRO/VILA SÃO LUIZ - ESPLANADA/ROD. PLANO PILOTO,  VIA L 2 SUL </t>
  </si>
  <si>
    <t xml:space="preserve">PARQUE S. ANTONIO/ M. NOBRE/BEATRIZ/QUEIROZ – W3 SUL/NORTE,  VIA EPNB/EIXO </t>
  </si>
  <si>
    <t>ROD. CENTRO/VILA SAO LUIZ -  W3 SUL/NORTE/ROD. PLANO PILOTO, VIA EPNB</t>
  </si>
  <si>
    <t>PARQUE S.ANTONIO/PED XVII/M. NOBRE/BEATRIZ/QUEIROZ – W3 SUL/NORTE/ROD. PLANO PILOTO, VIA SETOR POLICIAL</t>
  </si>
  <si>
    <t>ROD. QUEIROZ/BEATRIZ/PARQUE SANTO ANTONIO – W3 SUL/NORTE/ VIA SETOR POLICIAL</t>
  </si>
  <si>
    <t>PARQUE S.ANTONIO/M. NOBRE/BEATRIZ/QUEIROZ – SETOR GRÁFICO,  VIA EPTG</t>
  </si>
  <si>
    <t>JARDIM DE ALA/PED XI - S ETOR GRÁFICO, VIA EPTG</t>
  </si>
  <si>
    <t>ROD. QUEIROZ/BEATRIZ/PARQUE S.ANTONIO – SETOR GRÁFICO/W3 NORTE, VIA EPTG</t>
  </si>
  <si>
    <t>VILA SAO LUIZ/QUEIROZ/M. NOBRE/PARQUE S. ANTONIO - SIG</t>
  </si>
  <si>
    <t>ROD. CENTRO/VILA SAO LUIZ  - S M U/ROD. PLANO PILOTO, VIA SETOR MILITAR E PARKSHOPPING</t>
  </si>
  <si>
    <t>PARQUE S.ANTONIO/M. NOBRE/BEATRIZ/QUEIROZ – PARK SHOPPING/SMU/ROD. PLANO PILOTO, VIA EPNB</t>
  </si>
  <si>
    <t>PARQUE SAD / ROD. QUEIROZ / BRASÍLIA / SETOR GRÁFICO/ W3 NORTE/ NOROESTE</t>
  </si>
  <si>
    <t>PARQUE S. ANTONIO/M. NOBRE/QUEIROZ - AGUAS CLARAS/ROD. PLANO PILOTO,  VIA ESTRUTURAL</t>
  </si>
  <si>
    <t>PARQUE SANTO ANTONIO/M NOBRE/QUEIROZ – GUARÁ/ROD. PLANO PILOTO, VIA  ÁGUAS CLARAS</t>
  </si>
  <si>
    <t>PARQUE SAD / ROD. QUEIROZ / BRASÍLIA / PARQUE SHOPPING/SIG</t>
  </si>
  <si>
    <t>PARQUE SANTO ANTONIO/M. NOBRE/QUEIROZ - TAGUATINGA, VIA SANDÚ</t>
  </si>
  <si>
    <t>ROD. QUEIROZ - TAGUATINGA, VIA ESTÁDIO</t>
  </si>
  <si>
    <t>ROD. CENTRO/VILA SAO LUIZ - TAGUATINGA,VIA ESTÁDIO</t>
  </si>
  <si>
    <t>ROD. CENTRO/VILA SAO LUIZ - TAGUATINGA, VIA COMERCIAL</t>
  </si>
  <si>
    <t>PARQUE S.ANTONIO/M. NOBRE/QUEIROZ - TAGUATINGA, VIA ESTÁDIO</t>
  </si>
  <si>
    <t>ROD. CENTRO/VILA SAO LUIZ  - TAGUATINGA, VIA SANDÚ</t>
  </si>
  <si>
    <t>ROD. QUEIROZ/VILA SÃO LUIZ - TAGUATINGA</t>
  </si>
  <si>
    <t>JARDIM DE ALA/PED XI - TAGUATINGA,VIA SANDÚ</t>
  </si>
  <si>
    <t>PARQUE SANTO ANTONIO/M. NOBRE/QUEIROZ - TAGUATINGA, VIA COMERCIAL</t>
  </si>
  <si>
    <t>VILA SAO LUIZ/QUEIROZ/M. NOBRE/PARQUE SANTO ANTONIO, - TAGUATINGA, VIA ESTADIO</t>
  </si>
  <si>
    <t>PARQUE SANTO ANTONIO/MORADA NOBRE/QUEIROZ - TAGUATINGA, VIA SANDU</t>
  </si>
  <si>
    <t>06.048.466/0007-39</t>
  </si>
  <si>
    <t>MORADA DA SERRA/CEILÂNDIA CENTRO/VIA OESTE</t>
  </si>
  <si>
    <t>CEILANDIA</t>
  </si>
  <si>
    <t>Permissão - Quota 3</t>
  </si>
  <si>
    <t>SANTA LUCIA - CEILÂNDIA CENTRO/VIA OESTE</t>
  </si>
  <si>
    <t>PINHEIRO 1/CEILÂNDIA CENTRO/VIA OESTE</t>
  </si>
  <si>
    <t>PINHEIRO 2/CEILÂNDIA CENTRO/VIA OESTE</t>
  </si>
  <si>
    <t>12280070</t>
  </si>
  <si>
    <t>JD. PARAÍSO/ COMERCIAL NORTE/SUL - TAGUATINGA</t>
  </si>
  <si>
    <t>Permissão - Quota 2</t>
  </si>
  <si>
    <t>MORADA DA SERRA/ÁGUAS CLARAS/VIA PISTÃO NORTE</t>
  </si>
  <si>
    <t>SANTA LUCIA - TAGUATINGA RODOVIÁRIA, VIA COMERCIAL NORTE/SUL</t>
  </si>
  <si>
    <t xml:space="preserve">PINHEIRO 4 -TAGUATINGA, VIA COMERCIAL NORTE/SUL </t>
  </si>
  <si>
    <t>JD. GUAÍRA  - TAGUATINGA, VIA COMERCIAL NORTE/SUL</t>
  </si>
  <si>
    <t>ÁGUAS LINDAS DE GOIÁS/GO - TAGUATINGA/DF</t>
  </si>
  <si>
    <t>PINHEIRO 2/TAGUATINGA /VIA COMERCIAL/ EPNB</t>
  </si>
  <si>
    <t>PINHEIRO 1/TAGUATINGA /VIA COMERCIAL/ EPNB</t>
  </si>
  <si>
    <t xml:space="preserve">ROYAL PARK - TAGUATINGA, VIA COMERCIAL NORTE/SUL </t>
  </si>
  <si>
    <t>MORADA DA SERRA/TAGUATINGA RODOVIÁRIA/ VIA COMERCIAL NORTE</t>
  </si>
  <si>
    <t>MORADA DA SERRA/TAGUATINGA CENTRO/ VIA COMERCIAL NORTE</t>
  </si>
  <si>
    <t>MORADA DA SERRA/TAGUATINGA / VIA COMERCIAL N/S/ CATÓLICA</t>
  </si>
  <si>
    <t>SANTA LUCIA - TAGUATINGA RODOVIÁRIA/VIA COMERCIAL NORTE</t>
  </si>
  <si>
    <t>SANTA LUCIA - TAGUATINGA CENTRO/VIA COMERCIAL NORTE</t>
  </si>
  <si>
    <t>SANTA LUCIA - TAGUATINGA/VIA COMERCIAL N/S/CATÓLICA</t>
  </si>
  <si>
    <t>PINHEIRO 4/TAGUATINGA CENTRO/VIA COMERCIAL NORTE</t>
  </si>
  <si>
    <t>ROYAL PARK - TAGUATINGA RODOVIÁRIA/ VIA COMERCIAL NORTE</t>
  </si>
  <si>
    <t>ROYAL PARK - TAGUATINGA CENTRO/ VIA COMERCIAL NORTE</t>
  </si>
  <si>
    <t>PINHEIRO 4/TAGUATINGA/ COMERCIAL NORTE/SUL/CATÓLICA</t>
  </si>
  <si>
    <t>PINHEIRO 2/TAGUATINGA/VIA COMERCIAL N/S/CATÓLICA</t>
  </si>
  <si>
    <t>PINHEIRO 2/TAGUATINGA CENTRO/VIA COMERCIAL NORTE</t>
  </si>
  <si>
    <t>JARDIM LARANJEIRA - TAGUATINGA, VIA COMERCIAL NORTE E SUL/CATÓLICA</t>
  </si>
  <si>
    <t>PINHEIRO 1/TAGUATINGA/VIA COMERCIAL N/S/CATÓLICA</t>
  </si>
  <si>
    <t>PINHEIRO 1/TAGUATINGA CENTRO/VIA COMERCIAL NORTE</t>
  </si>
  <si>
    <t>PINHEIRO 1/TAGUATINGA RODOVIÁRIA/VIA COMERCIAL NORTE</t>
  </si>
  <si>
    <t>PINHEIRO 2/TAGUATINGA RODOVIÁRIA/VIA COMERCIAL NORTE</t>
  </si>
  <si>
    <t>SANTA LUCIA - ÁGUAS CLARAS /VIA PISTÃO NORTE</t>
  </si>
  <si>
    <t>PINHEIRO 4/ÁGUAS CLARAS/VIA PISTÃO NORTE</t>
  </si>
  <si>
    <t>JARDIM PARAISO - ÁGUAS CLARAS VIA PISTÃO NORTE / ÁGUAS CLARAS / UNIEURO</t>
  </si>
  <si>
    <t>JARDIM GUAÍRA/ÁGUAS CLARAS/VIA PISTÃO NORTE</t>
  </si>
  <si>
    <t>ROYAL PARK - ÁGUAS CLARAS/VIA PISTÃO NORTE</t>
  </si>
  <si>
    <t>PINHEIRO 1/ÁGUAS CLARAS/VIA PISTÃO NORTE</t>
  </si>
  <si>
    <t xml:space="preserve">JARDIM LARANJEIRA - ÁGUAS CLARAS/ VIA PISTÃO NORTE </t>
  </si>
  <si>
    <t>PINHEIRO 2/ÁGUAS CLARAS/VIA PISTÃO NORTE</t>
  </si>
  <si>
    <t>2862</t>
  </si>
  <si>
    <t>SANTA LÚCIA/HÉLIO PRATES/ÁGUAS CLARAS</t>
  </si>
  <si>
    <t>2859</t>
  </si>
  <si>
    <t>PINHEIRO 1/HÉLIO PRATES/ÁGUAS CLARAS</t>
  </si>
  <si>
    <t>GIRASSOL/BRASÍLIA/ESTRUTURAL/TERMINAL METROPOLITANO (TOURING)</t>
  </si>
  <si>
    <t>GIRASSOL (COCALZINHO)</t>
  </si>
  <si>
    <t>Permissão - Quota 8</t>
  </si>
  <si>
    <t xml:space="preserve">Tarifa Promocional a partir de  01/03/2024 </t>
  </si>
  <si>
    <t>GIRASSOL - BRASÍLIA/VIA EIXO</t>
  </si>
  <si>
    <t>GIRASSOL/COCALZINHO (GO)/BRASÍLIA VIA W3 SUL</t>
  </si>
  <si>
    <t>COCALZINHO DE GOIÁS (GIRASSOL) /BRASÍLIA VIA ESTRUTURAL/W3 NORTE/NOROESTE</t>
  </si>
  <si>
    <t>GIRASSOL/BRASÍLIA ESTRUTURAL/ESPLANADA</t>
  </si>
  <si>
    <t>GIRASSOL/BRASÍLIA W3 NORTE/L2 NORTE</t>
  </si>
  <si>
    <t>GIRASSOL/TAGUATINGA/CATÓLICA /EPNB</t>
  </si>
  <si>
    <t>Permissão - Quota 9</t>
  </si>
  <si>
    <t>GIRASSOL/TAGUATINGA CENTRO/VIA COMERCIAL NORTE</t>
  </si>
  <si>
    <t>GIRASSOL/TAGUATINGA/VIA COMERCIAL N/S/CATÓLICA</t>
  </si>
  <si>
    <t>GIRASSOL - AGUAS CLARAS, VIA TAGUATINGA CENTRO/COMERCIAL NORTE</t>
  </si>
  <si>
    <t>GIRASSOL/TAGUATINGA RODOVIÁRIA/VIA COMERCIAL NORTE</t>
  </si>
  <si>
    <t>GIRASSOL/ ÁGUAS CLARAS/VIA PISTÃO NORTE</t>
  </si>
  <si>
    <t xml:space="preserve">MANSÕES MARAJÓ - BRASÍLIA VIA PONTE DAS GARÇAS </t>
  </si>
  <si>
    <t>MANSOES MARAJO (CRISTALINA)</t>
  </si>
  <si>
    <t>Permissão - Quota 10</t>
  </si>
  <si>
    <t>MANSÕES MARAJÓ - BRASÍLIA VIA PONTE JK</t>
  </si>
  <si>
    <t>PEDREGAL VIA NOVO GAMA - TAGUATINGA/ VIA PISTÃO SUL</t>
  </si>
  <si>
    <t>Permissão - Quota 19</t>
  </si>
  <si>
    <t>PEDREGAL/NOVO GAMA - TAGUATINGA. VIA PISTÃO SUL E AGUAS CLARAS</t>
  </si>
  <si>
    <t>LAGO AZUL - TAGUATINGA, VIA PISTÃO SUL/AGUAS CLARAS</t>
  </si>
  <si>
    <t>LAGO AZUL (NOVO RESIDENCIAL L)/TAGUATINGA, VIA TAGUATINGA CENTRO</t>
  </si>
  <si>
    <t>LAGO AZUL/ TAGUATINGA/ VIA PISTÃO SUL</t>
  </si>
  <si>
    <t>PEDREGAL/ GAMA/ÁREA CENTRAL/RESIDENCIAL GREENVILLE</t>
  </si>
  <si>
    <t>PEDREGAL</t>
  </si>
  <si>
    <t>Permissão - Quota 20.1</t>
  </si>
  <si>
    <t>PEDREGAL/NOVO GAMA - GAMA/ÁREA CENTRAL</t>
  </si>
  <si>
    <t>PEDREGAL/GO - TERMINAL RODOVIÁRIO DO BRT DE SANTA MARIA/DF</t>
  </si>
  <si>
    <t>LAGO AZUL/ RESID. ALVORADA/AMÉRICA DO SUL - GAMA/ÁREA CENTRAL</t>
  </si>
  <si>
    <t>LAGO AZUL/GO</t>
  </si>
  <si>
    <t>Permissão - Quota 20.2</t>
  </si>
  <si>
    <t>LAGO AZUL/LUNABEL - GAMA/ ÁREA CENTRAL</t>
  </si>
  <si>
    <t>LAGO AZUL/RESID. ALVORADA/AMÉRICA DO SUL/GAMA/ÁREA CENTRAL</t>
  </si>
  <si>
    <t>LAGO AZUL NÚCLEO RESIDENCIAL  - GAMA/ÁREA CENTRAL</t>
  </si>
  <si>
    <t>LAGO AZUL/GO - TERMINAL RODOVIÁRIO DO BRT DE SANTA MARIA/DF</t>
  </si>
  <si>
    <t xml:space="preserve">LAGO AZUL - GAMA/ ÁREA CENTRAL </t>
  </si>
  <si>
    <t>RODOVIÁRIA DO NOVO GAMA / RODOVIÁRIA DO GAMA (SETOR CENTRAL)</t>
  </si>
  <si>
    <t>Permissão - Quota 20.3</t>
  </si>
  <si>
    <t>NÚCLEO RESIDENCIAL/LAGO AZUL/ SANTA MARIA - BRT</t>
  </si>
  <si>
    <t>TRANSPORTES ALÉM PARAÍBA LTDA.</t>
  </si>
  <si>
    <t>16.609.919/0001-17</t>
  </si>
  <si>
    <t>JAMAPARA/RJ - ALEM PARAIBA/MG</t>
  </si>
  <si>
    <t>JAMAPARA</t>
  </si>
  <si>
    <t>RJ</t>
  </si>
  <si>
    <t>ALEM PARAIBA</t>
  </si>
  <si>
    <t>UTB - UNIÃO TRANSPORTE BRASÍLIA LTDA</t>
  </si>
  <si>
    <t>37.098.480/0001-85</t>
  </si>
  <si>
    <t>CHIOLA/MORADA DA SERRA - ROD. PLANO PILOTO VIA ESTRUTURAL</t>
  </si>
  <si>
    <t>JARDIM LARANJEIRA/COIMBRA - ROD. PLANO PILOTO VIA EPTG/EIXO SUL</t>
  </si>
  <si>
    <t xml:space="preserve">PINHEIRO 4 E 5 - ROD. PLANO PILOTO VIA EPTG/EIXO SUL </t>
  </si>
  <si>
    <t>PINHEIRO 1 - ROD. PLANO PILOTO VIA EPTG / EIXO SUL</t>
  </si>
  <si>
    <t>PINHEIRO 1 - ROD. PLANO PILOTO VIA ESTRUTURAL</t>
  </si>
  <si>
    <t>PINHEIRO 2 - ROD. PLANO PILOTO EPTG/ EIXO SUL</t>
  </si>
  <si>
    <t>PINHEIRO 2 - ROD. PLANO PILOTO VIA ESTRUTURAL</t>
  </si>
  <si>
    <t>PINHEIRO 1 E 2 - ROD. PLANO PILOTO VIA EIXO SUL</t>
  </si>
  <si>
    <t>CHIOLA/MORADA DA SERRA - ESPLANADA VIA ESTRUTURAL / ROD. PLANO PILOTO</t>
  </si>
  <si>
    <t>JARDIM PARAISO - ESPLANADA VIA ESTRUTURAL / ROD. PLANO PILOTO</t>
  </si>
  <si>
    <t>PINHEIRO 4 e 5 - ESPLANADA  / ROD. PLANO PILOTO, VIA ESTRUTURAL</t>
  </si>
  <si>
    <t>PINHEIRO 1 - ESPLANADA  / ROD. PLANO PILOTO, VIA ESTRUTURAL</t>
  </si>
  <si>
    <t>JARDIM LARANJEIRA/COIMBRA - ESPLANADA  / ROD. PLANO PILOTO, VIA ESTRUTURAL</t>
  </si>
  <si>
    <t>PINHEIRO 2 - ESPLANADA / ROD. PLANO PILOTO, VIA ESTRUTURAL</t>
  </si>
  <si>
    <t>CHIOLA/MORADA DA SERRA - W3 NORTE VIA ESTRUTURAL / L2 NORTE / ROD. PLANO PILOTO</t>
  </si>
  <si>
    <t>JARDIM PARAISO - W3 NORTE / L2 NORTE / ROD. PLANO PILOTO, VIA ESTRUTURAL</t>
  </si>
  <si>
    <t xml:space="preserve">JARDIM GUAIRA - W3 NORTE / L2 NORTE /ROD. PLANO PILOTO, VIA ESTRUTURAL </t>
  </si>
  <si>
    <t xml:space="preserve">PINHEIRO 4 E 5 - W3 NORTE / ROD. PLANO PILOTO / L2 NORTE. VIA ESTRUTURAL </t>
  </si>
  <si>
    <t xml:space="preserve">JARDIM LARANJEIRA/COIMBRA - W3 NORTE / ROD. PLANO PILOTO, VIA ESTRUTURAL </t>
  </si>
  <si>
    <t>CHIOLA/W3 NORTE - ESTRUTURAL - EIXO MONUMENTAL - NOROESTE</t>
  </si>
  <si>
    <t>PINHEIRO 1 - W3 NORTE / L2 NORTE /ROD. PLANO PILOTO, VIA ESTRUTURAL</t>
  </si>
  <si>
    <t>PINHEIRO 2 - W3 NORTE / L2 NORTE / ROD. PLANO PILOTO, VIA ESTRUTURAL</t>
  </si>
  <si>
    <t>MORADA DA SERRA/CHIOLA - EPTG / EIXO SUL / ROD. PLANO PILOTO</t>
  </si>
  <si>
    <t>JARDIM PARAISO - EPTG / EIXO SUL / ROD. PLANO PILOTO</t>
  </si>
  <si>
    <t xml:space="preserve">JARDIM GUAIRA - EPTG / EIXO SUL / ROD. PLANO PILOTO </t>
  </si>
  <si>
    <t>MORADA DA SERRA/CHIOLA - S I G VIA ESTRUTURAL / ROD. PLANO PILOTO</t>
  </si>
  <si>
    <t>MORADA DA SERRA/CHIOLA - GUARÁ 1-2 / ROD. PLANO PILOTO, VIA EPTG/PARKSHOPPING</t>
  </si>
  <si>
    <t xml:space="preserve">PINHEIRO 1 - S I G / ROD. PLANO PILOTO,VIA ESTRUTURAL </t>
  </si>
  <si>
    <t>PINHEIRO 2 - S I G  / ROD. PLANO PILOTO, VIA ESTRUTURAL</t>
  </si>
  <si>
    <t>PINHEIRO 4 E 5 - SIG / ROD. PLANO PILOTO, VIA ESTRUTURAL</t>
  </si>
  <si>
    <t>MORADA DA SERRA/CHIOLA - NOROESTE VIA ESTRUTURAL / SAAN</t>
  </si>
  <si>
    <t>RODOVIÁRIA DE ÁGUAS LINDAS DE GOIÁS (JARDIM BRASÍLIA) / SAAN (ESTRUTURAL - EPIA) / SETOR NOROESTE</t>
  </si>
  <si>
    <t>ÁGUAS LINDAS (PINHEIRO 1) – SAAN - NOROESTE</t>
  </si>
  <si>
    <t>PINHEIRO I - GUARÁ 1 E 2/ ROD. PLANO PILOTO</t>
  </si>
  <si>
    <t>PINHEIRO 2 - GUARÁ 1 E 2 / ROD. PLANO PILOTO, VIA EPTG/PARKSHOPPING</t>
  </si>
  <si>
    <t xml:space="preserve">CEU AZUL - ROD. PLANO PILOTO VIA PARKSHOPPING / EIXO SUL </t>
  </si>
  <si>
    <t>CÉU AZUL</t>
  </si>
  <si>
    <t>5001E</t>
  </si>
  <si>
    <t>CÉU AZUL(PARKSHOPPING) / ROD. PLANO PILOTO</t>
  </si>
  <si>
    <t>CEU AZUL - ROD. PLANO PILOTO VIA EPGU-ZOOLÓGICO / EIXO W SUL</t>
  </si>
  <si>
    <t>5002E</t>
  </si>
  <si>
    <t>CEU AZUL - EIXO W SUL E NORTE, VIA  VBALÃO DO AEROPORTO /ROD. PLANO PILOTO</t>
  </si>
  <si>
    <t>PACAEMBU -  ROD. PLANO PILOTO VIA CÉU AZUL /  EPGU- ZOOLÓGICO / EIXO</t>
  </si>
  <si>
    <t>5004E</t>
  </si>
  <si>
    <t>PACAEMBU(EIXO SUL) / ROD. PLANO PILOTO</t>
  </si>
  <si>
    <t>CEU AZUL -  ROD. PLANO PILOTO VIA SETOR DE CHÁCARA ANHANGUERA / EPGU / EIXO W SUL</t>
  </si>
  <si>
    <t xml:space="preserve">PACAEMBU – ROD. PLANO PILOTO VIA CÉU AZUL / BALÃO DO AEROPORTO / EIXO / ESPLANADA </t>
  </si>
  <si>
    <t>CÉU AZUL(ZOOLÓGICO-EIXO SUL) / ESPLANADA</t>
  </si>
  <si>
    <t>5323E</t>
  </si>
  <si>
    <t xml:space="preserve">PACAEMBU -  SIA/SAAN VIA CÉU AZUL / PARK SHOPPING </t>
  </si>
  <si>
    <t>CEU AZUL - W3 SUL E NORTE VIA BALÃO DO AEROPORTO</t>
  </si>
  <si>
    <t>5031E</t>
  </si>
  <si>
    <t xml:space="preserve">CEU AZUL - W3 NORTE VIA PARKSHOPPING / SETOR GRÁFICO / BURITI </t>
  </si>
  <si>
    <t>5034E</t>
  </si>
  <si>
    <t>CÉU AZUL / SETOR GRÁFICO-W3 NORTE(NOROESTE)</t>
  </si>
  <si>
    <t>PACAEMBU -  W3 SUL E NORTE VIA CÉU AZUL / BALÃO DO AEROPORTO</t>
  </si>
  <si>
    <t>5035E</t>
  </si>
  <si>
    <t>CEU AZUL -  W3 SUL E NORTE VIA SETOR DE CHÁCARA ANHANGUERA / BALÃO DO AEROPORTO</t>
  </si>
  <si>
    <t xml:space="preserve">CEU AZUL – BURITI VIA PARKSHOPPING / SIG </t>
  </si>
  <si>
    <t>5301E</t>
  </si>
  <si>
    <t>CÉU AZUL – W3 NORTE VIA  PARKSHOPPING / SIG / BURITI / TORRE DE TV</t>
  </si>
  <si>
    <t>5304E</t>
  </si>
  <si>
    <t>CÉU AZUL – W3 NORTE VIA PARKSHOPPING / SIG / BURITI / TORRE DE TV</t>
  </si>
  <si>
    <t>PACAEMBU-CÉU AZUL / SETOR GRÁFICO-W3 NORTE(NOROESTE)</t>
  </si>
  <si>
    <t xml:space="preserve">CEU AZUL - SIA/SAAN VIA PARKSHOPPING </t>
  </si>
  <si>
    <t>VALPARAISO -  ROD. PLANO PILOTO VIA JARDIM ORIENTE / EPGU / EIXO W SUL</t>
  </si>
  <si>
    <t>VALPARAISO DE GOIAS</t>
  </si>
  <si>
    <t>VALPARAISO -  ROD. PLANO PILOTO VIA ETAPA B / BR 040 / EIXO W SUL</t>
  </si>
  <si>
    <t>5007E</t>
  </si>
  <si>
    <t>VALPARAISO -  ROD. PLANO PILOTO VIA ETAPA B / BR 040 / EIXO W</t>
  </si>
  <si>
    <t>VALPARAISO 1 e 2 (PARK SHOPPING) / ROD. PLANO PILOTO</t>
  </si>
  <si>
    <t xml:space="preserve">VALPARAISO -  ROD. PLANO PILOTO VIA ETAPA B / BR 040 / PARK SHOPPING  </t>
  </si>
  <si>
    <t>5009E</t>
  </si>
  <si>
    <t xml:space="preserve">VALPARAISO -  ROD. PLANO PILOTO VIA ETAPA B / BR-040 / PARK SHOPPING </t>
  </si>
  <si>
    <t>VALPARAISO - ROD. PLANO PILOTO VIA EPGU / EIXO W SUL</t>
  </si>
  <si>
    <t>5011E</t>
  </si>
  <si>
    <t xml:space="preserve">VALPARAISO - ROD. PLANO PILOTO VIA EPGU / EIXO W </t>
  </si>
  <si>
    <t>VALPARAÍSO II/CÉU AZUL/GO -PARANOÁ/DF</t>
  </si>
  <si>
    <t>VALPARAISO - ROD. PLANO PILOTO VIA PARKSHOPPING / EIXO W SUL CÓDIGO (5014)</t>
  </si>
  <si>
    <t>5014E</t>
  </si>
  <si>
    <t>5016E</t>
  </si>
  <si>
    <t>VALPARAISO 2 / L2 SUL E NORTE (UNB)</t>
  </si>
  <si>
    <t>VALPARAÍSO II / VIA BR-040/ AEROPORTO/ JARDIM BOTÂNICO /SÃO SEBASTIÃO</t>
  </si>
  <si>
    <t>5019E</t>
  </si>
  <si>
    <t>VALPARAISO 2(AEROPORTO) / LAGO SUL-JARDIM BOTÂNICO</t>
  </si>
  <si>
    <t>VALPARAISO -  ROD. PLANO PILOTO, VIA ETAPA B / BALÃO DO AEROPORTO / EIXO W SUL /  ESPLANADA</t>
  </si>
  <si>
    <t>5021E</t>
  </si>
  <si>
    <t xml:space="preserve">VALPARAÍSO – ROD. PLANO PILOTO VIA ETAPA B / BALÃO DO AEROPORTO /EIXO W SUL / ESPLANADA </t>
  </si>
  <si>
    <t>VALPARAISO II - ROD. PLANO PILOTO, VIA BALÃO DO AEROPORTO / EIXO W SUL / ESPLANADA</t>
  </si>
  <si>
    <t>5069E</t>
  </si>
  <si>
    <t>VALPARAÍSO DE GOIÁS I /GO (IPIRINGA) - W3 NORTE VIA PARKSHOPPING</t>
  </si>
  <si>
    <t>VALPARAISO -  W3 NORTE VIA ETAPA B / BR 040 / PARK SHOPPING / SETOR GRÁFICO CÓDIGO (5037)</t>
  </si>
  <si>
    <t>5037E</t>
  </si>
  <si>
    <t>VALPARAISO 1 / SETOR GRÁFICO-W3 NORTE(NOROESTE)</t>
  </si>
  <si>
    <t>IPANEMA / W3 SUL E NORTE (NOROESTE)</t>
  </si>
  <si>
    <t>VALPARAISO - W3 SUL E NORTE</t>
  </si>
  <si>
    <t>5039E</t>
  </si>
  <si>
    <t>VALPARAISO - W3 SUL E NORTE VIA BALÃO  DO AEROPORTO</t>
  </si>
  <si>
    <t>VALPARAISO - W3 SUL E NORTE VIA ETAPA B / BALÃO AEROPORTO</t>
  </si>
  <si>
    <t>5041E</t>
  </si>
  <si>
    <t>5042E</t>
  </si>
  <si>
    <t>VALPARAÍSO I /W3 SUL/NORTE(VIA YPIRANGA) EXPRESSO BRT</t>
  </si>
  <si>
    <t>5303</t>
  </si>
  <si>
    <t>VALPARAÍSO DE GOIÁS/GO (MARAJÓ)- W3 NORTE/DF VIA BR. 040.</t>
  </si>
  <si>
    <t>5303E</t>
  </si>
  <si>
    <t>PQ MARAJO / W3 NORTE (SETOR GRAFICO) EXPRESSO BRT</t>
  </si>
  <si>
    <t xml:space="preserve">VALPARAISO - SIA/SAAN VIA PARKSHOPPING </t>
  </si>
  <si>
    <t xml:space="preserve">VALPARAISO – SIA/SAAN VIA ETAPA B / BR-040 / PARK SHOPPING </t>
  </si>
  <si>
    <t>VALPARAÍSO DE GOIÁS (PARQUE MARAJÓ) VIA BR040 – W3 SUL / NORTE</t>
  </si>
  <si>
    <t>VALPARAÍSO DE GOIÁS I /GO (IPIRINGA) VIA BR 040 - ROD. PLANO PILOTO</t>
  </si>
  <si>
    <t>5010E</t>
  </si>
  <si>
    <t>VALPARAISO 1(YPIRANGA-PARK SHOPPING) / ROD. PLANO PILOTO</t>
  </si>
  <si>
    <t>VALPARAÍSO DE GOIÁS (MARAJÓ) VIA EIXO W SUL - ROD. PLANO PILOTO</t>
  </si>
  <si>
    <t xml:space="preserve">VALPARAÍSO – ROD. DO GAMA VIA CÉU AZUL / CENTRO GAMA </t>
  </si>
  <si>
    <t>VALPARAISO 1 - ROD. DO GAMA VIA ETAPA B / BR-040 / DF-290 / CENTRO GAMA</t>
  </si>
  <si>
    <t>5706.1</t>
  </si>
  <si>
    <t>VALPARAISO 1(ETAPA E-SHOPPING SUL) / GAMA</t>
  </si>
  <si>
    <t>5707</t>
  </si>
  <si>
    <t>PQ MARAJÓ(SANTA RITA-BR 040-SHOPPING SUL) / GAMA</t>
  </si>
  <si>
    <t>5708</t>
  </si>
  <si>
    <t>VALPARAISO 2(CÉU AZUL) / GAMA(GAMA SHOPPING)</t>
  </si>
  <si>
    <t xml:space="preserve">PACAEMBU -  ROD. DO GAMA VIA CÉU AZUL / DF-290 </t>
  </si>
  <si>
    <t xml:space="preserve">VALPARAÍSO – ROD. DE TAGUATINGA VIA ETABA B / EPCT / PISTÃO SUL </t>
  </si>
  <si>
    <t>VALPARAISO II – ROD. DE TAGUATINGA VIA CÉU AZUL/ EPCT / PISTÃO SUL</t>
  </si>
  <si>
    <t>5822</t>
  </si>
  <si>
    <t>PACAEMBU(CÉU AZUL-DF 290) / TAGUATINGA</t>
  </si>
  <si>
    <t>VALPARAÍSO II / CÉU AZUL – ÁGUAS CLARAS/ROD. DE TAGUATINGA </t>
  </si>
  <si>
    <t>VALPARAÍSO I – ÁGUAS CLARAS /ROD. DE TAGUATINGA</t>
  </si>
  <si>
    <t>12500270</t>
  </si>
  <si>
    <t>JARDIM ABC/ROD. DO PLANO PILOTO (VIA L2 SUL/ESPLANADA)</t>
  </si>
  <si>
    <t>CIDADE OCIDENTAL</t>
  </si>
  <si>
    <t>JARDIM ABC (LAGO SUL) W3 SUL NORTE/NOROESTE (HOSPITAL DA CRIANÇA)</t>
  </si>
  <si>
    <t>CIDADE OCIDENTAL (FRIBURGO/NÁPOLIS/ARAGUARI) VIA BR-040 – PARKSHOPPING - RODOVIÁRIA PLANO PILOTO</t>
  </si>
  <si>
    <t xml:space="preserve">CID. OCIDENTAL – VILLE DE MONTAGNE VIA JD. ABC / DF-140 </t>
  </si>
  <si>
    <t xml:space="preserve">CIDADE OCIDENTAL (FRIBURGO) VIA BR040 – BALÃO AEROPORTO – W3 SUL E NORTE </t>
  </si>
  <si>
    <t xml:space="preserve">CIDADE OCIDENTAL - W3 NORTE VIA JARDIM ABC /PONTE JK / ESPLANADA </t>
  </si>
  <si>
    <t xml:space="preserve">JARDIM ABC - W3 SUL E NORTE VIA GILBERTO SALOMÃO / L2 SUL </t>
  </si>
  <si>
    <t xml:space="preserve">CID. OCIDENTAL – VILLE DE MONTAGNE VIA JD. ABC / SÃO SEBASTIÃO </t>
  </si>
  <si>
    <t>CIDADE OCIDENTAL – SIA VIA JD. ABC / PONTE JK / ESPLANADA / SIG</t>
  </si>
  <si>
    <t xml:space="preserve">CID. OCIDENTAL – CRUZEIRO VIA JD. ABC / PONTE JK / ESPLANADA / SIG </t>
  </si>
  <si>
    <t>CIDADE OCIDENTAL - ROD. PLANO PILOTO VIA EPGU-ZOOLÓGICO / EIXO W SUL</t>
  </si>
  <si>
    <t xml:space="preserve">CIDADE OCIDENTAL - ROD. PLANO PILOTO VIA JD. ABC / GILBERTO SALOMÃO </t>
  </si>
  <si>
    <t xml:space="preserve">CIDADE OCIDENTAL - ROD. PLANO PILOTO VIA PARKSHOPPING / EIXO W SUL </t>
  </si>
  <si>
    <t>CIDADE OCIDENTAL (FRIBURGO/NÁPOLIS/ARAGUARI) VIA BR-040 – ZOOLÓGICO - RODOVIÁRIA PLANO PILOTO</t>
  </si>
  <si>
    <t xml:space="preserve">CIDADE OCIDENTAL – ROD. PLANO PILOTO VIA BALÃO DO AEROPORTO / ESPLANADA </t>
  </si>
  <si>
    <t xml:space="preserve">CIDADE OCIDENTAL - W3 SUL E NORTE VIA BALÃO DO AEROPORTO </t>
  </si>
  <si>
    <t xml:space="preserve">CIDADE OCIDENTAL - W3 NORTE VIA PARKSHOPPING / SIG / TORRE DE TV </t>
  </si>
  <si>
    <t xml:space="preserve">CIDADE OCIDENTAL - SETOR DE CARGAS VIA PARKSHOPPING / SIA </t>
  </si>
  <si>
    <t>CIDADE OCIDENTAL – SIA/SAAN VIA PARKSHOPPING / SOF NORTE</t>
  </si>
  <si>
    <t>8310E</t>
  </si>
  <si>
    <t>PQ. NAPOLIS-ARAGUARI(BALÃO AEROPORTO) / W3 SUL NORTE - NOROESTE</t>
  </si>
  <si>
    <t xml:space="preserve">CIDADE OCIDENTAL - SMU VIA PARKSHOPPING / SIG / BURITI </t>
  </si>
  <si>
    <t xml:space="preserve">CID. OCIDENTAL – ROD. PLANO PILOTO VIA JARDIM ABC / PONTE JK / ESPLANADA </t>
  </si>
  <si>
    <t xml:space="preserve">CID. OCIDENTAL (FRIBURGO) – W3 NORTE E SUL VIA BALÃO DO AEROPORTO </t>
  </si>
  <si>
    <t>CIDADE OCIDENTAL - ITAPOÃ VIA JARDIM ABC / PARANOÁ</t>
  </si>
  <si>
    <t>8001E</t>
  </si>
  <si>
    <t>8021E</t>
  </si>
  <si>
    <t>8024E</t>
  </si>
  <si>
    <t>PQ. NAPOLIS-ARAGUARI(P. SHOPPING)/ROD. PLANO PILOTO</t>
  </si>
  <si>
    <t>8071E</t>
  </si>
  <si>
    <t>8072E</t>
  </si>
  <si>
    <t>8350E</t>
  </si>
  <si>
    <t>CIDADE OCIDENTAL - SMU VIA PARKSHOPPING / SIG / BURITI</t>
  </si>
  <si>
    <t>8009E</t>
  </si>
  <si>
    <t>CIDADE OCIDENTAL - ROD. PLANO PILOTO VIA PARKSHOPPING / EIXO W SUL</t>
  </si>
  <si>
    <t>CIDADE OCIDENTAL (NÁPOLIS/ARAGUARI)</t>
  </si>
  <si>
    <t>8075E</t>
  </si>
  <si>
    <t>PQ. NAPOLIS-ARAGUARI(BALÃO AEROPORTO) / W3 SUL NORTE(NOROESTE)</t>
  </si>
  <si>
    <t>CIDADE OCIDENTAL (FRIBURGO) VIA BR040 – PARK SHOPPING – SETOR GRÁFICO – W3 NORTE</t>
  </si>
  <si>
    <t>CIDADE OCIDENTAL (NÁPOLIS / ARAGUARI)</t>
  </si>
  <si>
    <t xml:space="preserve">PARQUE FRIBURGO- SÃO MATEUS-NAPOLIS-ARAGUARI W3 NORTE P.SHOPPING / S.GRAFICO/ TORRE DE TV </t>
  </si>
  <si>
    <t>8022E</t>
  </si>
  <si>
    <t>PQ FRIBURGO-S. MATEUS(PARK SHOPPING) / ROD. PLANO PILOTO</t>
  </si>
  <si>
    <t>PARQUE NAPOLIS B-P.ARAGUARI- ZOOLOGICO-CANDANGA-RODOVIARIA PLANO PILOTO</t>
  </si>
  <si>
    <t>8026E</t>
  </si>
  <si>
    <t>PQ. FRIBURGO-S.MAT-ARAG.-NAPOLIS(P. SHOPPING) / ROD. PLANO PILOTO</t>
  </si>
  <si>
    <t>PARQUE FRIBURGO- SÃO MATEUS-ZOOLOGICO-CANDANGA-RODOVIARIA PLANO PILOTO</t>
  </si>
  <si>
    <t>8051D</t>
  </si>
  <si>
    <t>12500220</t>
  </si>
  <si>
    <t>CIDADE OCIDENTAL – ROD. PLANO PILOTO VIA BALÃO DO AEROPORTO / ESPLANADA</t>
  </si>
  <si>
    <t>8009D</t>
  </si>
  <si>
    <t>8071D</t>
  </si>
  <si>
    <t>8801</t>
  </si>
  <si>
    <t>12500470</t>
  </si>
  <si>
    <t>CIDADE OCIDENTAL – ROD. DE TAGUATINGA VIA EPNB / PISTÃO SUL</t>
  </si>
  <si>
    <t xml:space="preserve">CIDADE OCIDENTAL - GAMA CENTRO VIA BR-040 / DF-290 </t>
  </si>
  <si>
    <t>37.098.480/0001-86</t>
  </si>
  <si>
    <t>CIDADE OCIDENTAL VIA JARDIM ABC -  GAMA CENTRO VIA BR-040 / DF-290</t>
  </si>
  <si>
    <t>8703</t>
  </si>
  <si>
    <t>OCIDENTAL(GAMA SHOPPING) / GAMA</t>
  </si>
  <si>
    <t>12926470</t>
  </si>
  <si>
    <t>MONTE ALTO - BRAZLÂNDIA VIA BR-080</t>
  </si>
  <si>
    <t>MONTE ALTO (PADRE BERNARDO)</t>
  </si>
  <si>
    <t>BRAZLANDIA</t>
  </si>
  <si>
    <t>Autorização Judicial</t>
  </si>
  <si>
    <t>MONTE ALTO - ÁGUAS CLARAS VIA BRAZLÂNDIA / INCRA 08 / HÉLIO PRATES</t>
  </si>
  <si>
    <t>MONTE ALTO - ÁGUAS CLARAS VIA BRAZLÂNDIA / INCRA 08 / HÉLIO PRATES )</t>
  </si>
  <si>
    <t>MONTE ALTO - TAGUATINGA VIA BRAZLÂNDIA / INCRA 08 / BR 070 / HELIO PRATES / COMERCIAL NORTE</t>
  </si>
  <si>
    <t>MONTE ALTO - NÚCLEO BANDEIRANTE VIA BRAZLÂNDIA / FASSINCRA / COMERCIAL NORTE E SUL</t>
  </si>
  <si>
    <t xml:space="preserve">MONTE ALTO - ESPLANADA VIA ROD. PLANO PILOTO / EIXO W / EPTG / PISTÃO NORTE / FASSINCRA / BRAZLÂNDIA </t>
  </si>
  <si>
    <t>MONTE ALTO - W3 NORTE VIA BRAZLÂNDIA / INCRA 08 / BR 070 / EPTG / SETOR GRÁFICO</t>
  </si>
  <si>
    <t>MONTE ALTO - ROD. PLANO PILOTO VIA BRAZLÂNDIA / DF-180 / PISTÃO NORTE / EPTG / EIXO W</t>
  </si>
  <si>
    <t>MONTE ALTO - ROD. PLANO PILOTO VIA BRAZLÂNDIA / EIXO W / EPTG / PISTÃO NORTE / FASSINCRA</t>
  </si>
  <si>
    <t xml:space="preserve">MONTE ALTO - ROD. PLANO PILOTO VIA BRAzLÂNDIA / FASSINCRA / ESTRUTURAL / EIXO MONUMENTAL / AEROPORTO / EIXO W </t>
  </si>
  <si>
    <t xml:space="preserve">MONTE ALTO - ROD. PLANO PILOTO VIA EIXO W / EPIA / FASSINCRA / ESTRUTURAL </t>
  </si>
  <si>
    <t xml:space="preserve">MONTE ALTO - ROD. PLANO PILOTO VIA EIXO W/ EPTG / COMERCIAL NORTE / HELIO PRATES / BR 070 / INCRA 08 / BRAZLÂNDIA </t>
  </si>
  <si>
    <t>PEDREGAL (PARQUE ESTRELA DALVA) / RODOVIÁRIA DO PLANO PILOTO (PARK SHOPPING - EIXO SUL)</t>
  </si>
  <si>
    <t>NOVO GAMA</t>
  </si>
  <si>
    <t>4000E</t>
  </si>
  <si>
    <t>PEDREGAL-NOVO GAMA / JARDIM BOTANICO (VIA AEROPORTO) - Semiexpresso</t>
  </si>
  <si>
    <t>4002</t>
  </si>
  <si>
    <t>PEDREGAL-NOVO GAMA / LAGO SUL (VIA AEROPORTO)</t>
  </si>
  <si>
    <t>4002E</t>
  </si>
  <si>
    <t>PEDREGAL-NOV O GAMA / LAGO SUL (VIA AEROPORTO)- Semiexpresso</t>
  </si>
  <si>
    <t>4004E</t>
  </si>
  <si>
    <t>PEDREGAL-NOVO GAMA / ROD PLANO PILOTO (VIA PARK SHOPPING) - Semiexpresso</t>
  </si>
  <si>
    <t>PEDREGAL (PARQUE ESTRELA DALVA) / RODOVIÁRIA DO PLANO PILOTO (ZOOLÓGICO - EIXO SUL)</t>
  </si>
  <si>
    <t>12183770</t>
  </si>
  <si>
    <t>PEDREGAL (RODOVIÁRIA DO NOVO GAMA) / RODOVIÁRIA DO PLANO PILOTO (PARK SHOPPING - EIXO SUL)</t>
  </si>
  <si>
    <t>PEDREGAL (RODOVIÁRIA DO NOVO GAMA) / RODOVIÁRIA DO PLANO PILOTO (ZOOLÓGICO - EIXO SUL - ESPLANADA)</t>
  </si>
  <si>
    <t>PEDREGAL (RODOVIÁRIA DO NOVO GAMA) / EIXO L SUL E NORTE (ZOOLÓGICO)</t>
  </si>
  <si>
    <t>PEDREGAL-NOVO GAMA / W3 SUL-NORTE</t>
  </si>
  <si>
    <t>PEDREGAL (RODOVIÁRIA DO NOVO GAMA) / SUDOESTE (EPIA - PARK SHOPPING - SIG)</t>
  </si>
  <si>
    <t>PEDREGAL (RODOVIÁRIA DO NOVO GAMA) / W3 NORTE (EPIA - PARK SHOPPING - SIG) / SETOR NOROESTE</t>
  </si>
  <si>
    <t>4085E</t>
  </si>
  <si>
    <t>PEDREGAL (RODOVIÁRIA DO NOVO GAMA) / EIXO L SUL E NORTE (ZOOLÓGICO) - SEMIEXPRESSA</t>
  </si>
  <si>
    <t>4087E</t>
  </si>
  <si>
    <t>PEDREGAL (RODOVIÁRIA DO NOVO GAMA) / W3 SUL E NORTE (PARK SHOPPING) / SETOR NOROESTE - SEMIEXPRESSA</t>
  </si>
  <si>
    <t>4304E</t>
  </si>
  <si>
    <t>PEDREGAL (RODOVIÁRIA DO NOVO GAMA) / W3 NORTE (EPIA - PARK SHOPPING - SIG) / SETOR NOROESTE - SEMIEXPRESSA</t>
  </si>
  <si>
    <t>PEDREGAL-NOVO GAMA / SIA-SAAN (FEIRA DOS IMPORTADOS)</t>
  </si>
  <si>
    <t>4070E</t>
  </si>
  <si>
    <t>PEDREGAL/ NOVO GAMA/CANDANGOLANDIA/ZOOLOGICO/ ESPLANADA</t>
  </si>
  <si>
    <t>VIAÇÃO PROGRESSO S/A</t>
  </si>
  <si>
    <t>32.404.063/0001-08</t>
  </si>
  <si>
    <t>TRES RIOS/RJ - CHIADOR/MG</t>
  </si>
  <si>
    <t>TRES RIOS</t>
  </si>
  <si>
    <t>CHIADOR</t>
  </si>
  <si>
    <t>SANTA FE</t>
  </si>
  <si>
    <t>PENHA LONGA</t>
  </si>
  <si>
    <t>ESTACAO DE CHIADOR</t>
  </si>
  <si>
    <t>01.611.500/0001-22</t>
  </si>
  <si>
    <t>ÁGUAS LINDAS - SHOPPING/ BRAZLÂNDIA VIA PADRE LÚCIO</t>
  </si>
  <si>
    <t>12197370</t>
  </si>
  <si>
    <t>ÁGUAS LINDAS DE GOIÁS (SANTA LÚCIA - JARDIM BRASÍLIA) / BRAZLÂNDIA (PADRE LÚCIO - TERMINAL VEREDAS)</t>
  </si>
  <si>
    <t>Todos os postos de Trabalho</t>
  </si>
  <si>
    <t>44 horas</t>
  </si>
  <si>
    <t>nº</t>
  </si>
  <si>
    <t>Segunda</t>
  </si>
  <si>
    <t>Terça</t>
  </si>
  <si>
    <t xml:space="preserve">Quarta </t>
  </si>
  <si>
    <t>Quinta</t>
  </si>
  <si>
    <t>Sexta</t>
  </si>
  <si>
    <t xml:space="preserve">Sábado </t>
  </si>
  <si>
    <t>Domingo</t>
  </si>
  <si>
    <t>Total</t>
  </si>
  <si>
    <t>dias ef. Trab:</t>
  </si>
  <si>
    <t>Total de horas</t>
  </si>
  <si>
    <t xml:space="preserve"> O cálculo dos dias efetivamente trabalhados considerou uma escala de 44 horas semanais com adoção de mês comercial e semana inglesa (segunda a quinta trabalho com duração de 9h e sexta com duração de 8h).</t>
  </si>
  <si>
    <t>VALE TRANSPORTE</t>
  </si>
  <si>
    <t>Posto</t>
  </si>
  <si>
    <t>Dias efetivamente trabalhados por mês</t>
  </si>
  <si>
    <t>Ida</t>
  </si>
  <si>
    <t>Volta</t>
  </si>
  <si>
    <t>Valor diário</t>
  </si>
  <si>
    <t>Valor mensal</t>
  </si>
  <si>
    <t>cidade satélite ou entorno  até a  rodoviária</t>
  </si>
  <si>
    <t>rodoviária - TCDF</t>
  </si>
  <si>
    <t>TCDF - rodoviária</t>
  </si>
  <si>
    <t xml:space="preserve">rodoviária até a cidade satélite ou entorno  </t>
  </si>
  <si>
    <t>Observação:</t>
  </si>
  <si>
    <t>1) As licitantes poderão cotar valores inferiores para o vale-transporte, o que não exime o cumprimento do disposto na Lei nº 7.418/1985.</t>
  </si>
  <si>
    <t>Valor Considerado</t>
  </si>
  <si>
    <t>Fonte dos Dados</t>
  </si>
  <si>
    <t xml:space="preserve"> Decreto Distrital nº 40.381/2020</t>
  </si>
  <si>
    <t>Auxílio-Alimentação</t>
  </si>
  <si>
    <t>Postos - Diurnos</t>
  </si>
  <si>
    <t>Dias Efetivamente Trabalhados por Mês</t>
  </si>
  <si>
    <t>Vale-alimentação</t>
  </si>
  <si>
    <t>Valor Bruto</t>
  </si>
  <si>
    <t>PREÇO 2</t>
  </si>
  <si>
    <t>PREÇO 3</t>
  </si>
  <si>
    <t>MEDIA</t>
  </si>
  <si>
    <t>MEDIANA</t>
  </si>
  <si>
    <t>Tipo</t>
  </si>
  <si>
    <t>Quantidade</t>
  </si>
  <si>
    <t>Especificações</t>
  </si>
  <si>
    <t xml:space="preserve">Quantidade </t>
  </si>
  <si>
    <t>Inicial</t>
  </si>
  <si>
    <t>Semestral</t>
  </si>
  <si>
    <t>Anual</t>
  </si>
  <si>
    <t xml:space="preserve">MÉDIA </t>
  </si>
  <si>
    <t>MENOR</t>
  </si>
  <si>
    <t>Masculino</t>
  </si>
  <si>
    <t>Calça</t>
  </si>
  <si>
    <t>Camiseta Malha P/ Profissionais Leve Confortável</t>
  </si>
  <si>
    <t>Par de meias</t>
  </si>
  <si>
    <t>Total Mensal Estimado do Custo Direto com Uniformes para a equipe</t>
  </si>
  <si>
    <t>A apropriação dos Custos Indiretos, Lucros e Tributos (BDI - Módulo 6) é feita na Planilha Resumo dos Preços dos Serviços.</t>
  </si>
  <si>
    <t>De modo assegurar a manutenção dos princípios da isonomia e do julgamento objetivo do certame, é expressamente proibido à alteração dos tipos e dos quantitativos de uniformes, constantes das planilhas de uniformes para os postos de serviços.</t>
  </si>
  <si>
    <t>O primeiro conjunto de uniforme deverá ser entregue no prazo de até 15 (quinze) dias, a contar da data de assinatura do contrato.</t>
  </si>
  <si>
    <t>Após o fornecimento inicial, os conjuntos de uniformes deverão ser entregues aos funcionários, no máximo, até o 10º (décimo) dia útil de cada semestre, na presença da fiscalização do contrato administrativo.</t>
  </si>
  <si>
    <t>Todos os modelos de uniformes deverão ser aprovados pela fiscalização do contrato.</t>
  </si>
  <si>
    <t>No custo direto mensal ofertado para o fornecimento dos uniformes deverá estar contemplado ainda a obrigação de a CONTRATADA fornecer aos funcionários, gratuitamente, Equipamento de Proteção Individual (EPI) adequado ao risco da atividade exercida e em perfeito estado de conservação e funcionamento, nos termos da NR-06 (ABNT).
Aos funcionários que manipulam produtos químicos de limpeza de sistemas de climatização deverão ser fornecidos, no mínimo:
a) Luvas de cano longo;
b) Botas de borracha;
c) Máscara com filtro;
d) Óculos contra respingos; e
e) Óculos de proteção contra luminosidade.</t>
  </si>
  <si>
    <t>Módulo 02 - Encargos e Benefícios Anuais, Mensais e Diários</t>
  </si>
  <si>
    <t>Submódulo 2.2 - Encargos Previdenciários, FGTS e outras contribuições</t>
  </si>
  <si>
    <t>%</t>
  </si>
  <si>
    <t>A</t>
  </si>
  <si>
    <t xml:space="preserve">INSS (Art. 22, Inciso I, da Lei nº. 8.212/91) </t>
  </si>
  <si>
    <t>B</t>
  </si>
  <si>
    <r>
      <rPr>
        <sz val="12"/>
        <rFont val="Arial Narrow"/>
        <family val="2"/>
      </rPr>
      <t xml:space="preserve">SESI ou </t>
    </r>
    <r>
      <rPr>
        <b/>
        <sz val="12"/>
        <rFont val="Arial Narrow"/>
        <family val="2"/>
      </rPr>
      <t>SESC</t>
    </r>
    <r>
      <rPr>
        <sz val="12"/>
        <rFont val="Arial Narrow"/>
        <family val="2"/>
      </rPr>
      <t xml:space="preserve"> ou SEST </t>
    </r>
  </si>
  <si>
    <t>C</t>
  </si>
  <si>
    <r>
      <rPr>
        <sz val="12"/>
        <rFont val="Arial Narrow"/>
        <family val="2"/>
      </rPr>
      <t xml:space="preserve">SENAI ou </t>
    </r>
    <r>
      <rPr>
        <b/>
        <sz val="12"/>
        <rFont val="Arial Narrow"/>
        <family val="2"/>
      </rPr>
      <t>SENAC</t>
    </r>
    <r>
      <rPr>
        <sz val="12"/>
        <rFont val="Arial Narrow"/>
        <family val="2"/>
      </rPr>
      <t xml:space="preserve"> ou SENAT</t>
    </r>
  </si>
  <si>
    <t>D</t>
  </si>
  <si>
    <t>INCRA (Decreto-Lei nº 1.146/70, Lei nº. 2.613/55)</t>
  </si>
  <si>
    <t>E</t>
  </si>
  <si>
    <t>Salário Educação (Lei 9.424/96, 9.766/98, Decreto 6.003/06 e Art. 212 § 5º CF)</t>
  </si>
  <si>
    <t>F</t>
  </si>
  <si>
    <t>FGTS (Art. 15 da Lei nº 8.036/90, Art. 7º, § 3º da CF)</t>
  </si>
  <si>
    <t>G</t>
  </si>
  <si>
    <r>
      <rPr>
        <sz val="12"/>
        <rFont val="Arial Narrow"/>
        <family val="2"/>
      </rPr>
      <t>Riscos Ambientais do Trabalho - GILRAT  (Lei nº 8.212/91, Lei 10.666/03)- (</t>
    </r>
    <r>
      <rPr>
        <b/>
        <sz val="12"/>
        <rFont val="Arial Narrow"/>
        <family val="2"/>
      </rPr>
      <t>RAT x FAP</t>
    </r>
    <r>
      <rPr>
        <sz val="12"/>
        <rFont val="Arial Narrow"/>
        <family val="2"/>
      </rPr>
      <t>)</t>
    </r>
  </si>
  <si>
    <r>
      <rPr>
        <sz val="12"/>
        <rFont val="Arial Narrow"/>
        <family val="2"/>
      </rPr>
      <t>GIL</t>
    </r>
    <r>
      <rPr>
        <b/>
        <sz val="12"/>
        <rFont val="Arial Narrow"/>
        <family val="2"/>
      </rPr>
      <t xml:space="preserve">RAT </t>
    </r>
  </si>
  <si>
    <t>FAP</t>
  </si>
  <si>
    <t>H</t>
  </si>
  <si>
    <t xml:space="preserve">SEBRAE (Lei nº 8.029/90, art. 8º, alterados pelas Leis nºs: 8.154/90 e 11.080/04) </t>
  </si>
  <si>
    <t>Submódulo 2.2 - Encargos Previdenciários, FGTS e outras contribuições:</t>
  </si>
  <si>
    <t>Submódulo 2.3 - 13º Salário e Adiconal de Férias</t>
  </si>
  <si>
    <t>13º Salário</t>
  </si>
  <si>
    <t>Gratificação de Natal, instituída pela Lei nº 4.090, de 13 de julho de 1962.</t>
  </si>
  <si>
    <t xml:space="preserve">÷ </t>
  </si>
  <si>
    <t>Adicional de Férias</t>
  </si>
  <si>
    <t>Artigos 7º, XVII, da CF/88 e Arts. 129 a 153 da CLT.</t>
  </si>
  <si>
    <t>÷</t>
  </si>
  <si>
    <t>Subtotal</t>
  </si>
  <si>
    <t>Incidência do submódulo 2.2 sobre 13º e adicional de férias</t>
  </si>
  <si>
    <t>x</t>
  </si>
  <si>
    <t>Inc. Multa do FGTS rescisão sem justa causa sobre 13º e Adicional de Férias</t>
  </si>
  <si>
    <t>Submódulo 2.3 - 13º Salário e Adiconal de Férias:</t>
  </si>
  <si>
    <t>Submódulo 2.4 - Afastamento Maternidade ¹</t>
  </si>
  <si>
    <t>Férias Proporcionais relativas ao afastamento maternidade</t>
  </si>
  <si>
    <t>Art. 7º, Inciso XVIII da CF, Lei 8.212/91, 10.421/02</t>
  </si>
  <si>
    <t>Incidência do sub módulo 2.2 sobre as férias proporcionais</t>
  </si>
  <si>
    <t>Submódulo 2.4 - Afastamento Maternidade:</t>
  </si>
  <si>
    <t>¹ Cáculo conforme RE 576967 e Solução de Consulta RFB Cosit nº 127/2021</t>
  </si>
  <si>
    <t>Módulo 3 - Provisão para Rescisão</t>
  </si>
  <si>
    <t>Aviso Prévio Indenizado</t>
  </si>
  <si>
    <t>(</t>
  </si>
  <si>
    <t>)</t>
  </si>
  <si>
    <t>13º e Férias sobre aviso prévio indenizado</t>
  </si>
  <si>
    <t>+</t>
  </si>
  <si>
    <t xml:space="preserve">Observa-se que os encargos sociais do Submódulo 2.2 referente a parcela do Aviso Prévio Indenizado incide apenas sobre o reflexo no 13º salário (gratificação natalina), conforme as seguintes Soluções de Consulta da Receita Federal: SOLUÇÃO DE CONSULTA DISIT/SRRF04 Nº 4013, DE 08 DE JUNHO DE 2017 ; SOLUÇÃO DE CONSULTA DISIT/SRRF03 Nº 3008, DE 03 DE AGOSTO DE 2017; e SOLUÇÃO DE CONSULTA DISIT/SRRF04 Nº 4021, DE 22 DE MARÇO DE 2019. </t>
  </si>
  <si>
    <r>
      <rPr>
        <sz val="12"/>
        <rFont val="Arial Narrow"/>
        <family val="2"/>
      </rPr>
      <t xml:space="preserve">Incid. do submódulo 2.2 </t>
    </r>
    <r>
      <rPr>
        <b/>
        <sz val="12"/>
        <rFont val="Arial Narrow"/>
        <family val="2"/>
      </rPr>
      <t>sem FGTS</t>
    </r>
    <r>
      <rPr>
        <sz val="12"/>
        <rFont val="Arial Narrow"/>
        <family val="2"/>
      </rPr>
      <t xml:space="preserve"> sobre o reflexo do aviso prévio indenizado no 13º</t>
    </r>
  </si>
  <si>
    <t>Incidência do FGTS do aviso prévio indenizado</t>
  </si>
  <si>
    <t>Multa do FGTS (Indenização nas rescisões sem justa causa)</t>
  </si>
  <si>
    <t>Leis n.ºs 8.036/1990 e 9.491/1997, considerando que ao término do contrato 100% dos empregados terão rescisões sem justa causa. Observe-se que o art. 12 da Lei nº 13.932/2019 extinguiu, a partir de 1º de janeiro de 2020, a contribuição social instituída por meio do art. 1º da Lei Complementar nº 110/2001.</t>
  </si>
  <si>
    <t>Indenização Adicional. Fundamento Legal: Artigo 9º da Lei n.º 7.238/1984.</t>
  </si>
  <si>
    <t>Módulo 4 - Custo de Reposição do Profissional Ausente</t>
  </si>
  <si>
    <t>Reposição relativa a Férias</t>
  </si>
  <si>
    <t>O título férias do Módulo 4 refere-se ao provisonamento de 1/12 avos do salário mensal do posto para reposição da mão-de-obra na ocorrência do evento férias</t>
  </si>
  <si>
    <t>Reposição referente a Licença Paternidade</t>
  </si>
  <si>
    <t>Reposição em razão de outras ausências legais</t>
  </si>
  <si>
    <t>Reposição devido a concessão de Aviso Prévio Trabalhado</t>
  </si>
  <si>
    <t>Subtotal de A a D</t>
  </si>
  <si>
    <t>Incidência do submódulo 2.2 sobre o Custo de Reposição (A a D)</t>
  </si>
  <si>
    <t>Reposição relativa à Ausência por doença</t>
  </si>
  <si>
    <t>Reposição relativa à Ausência por Acidente de Trabalho</t>
  </si>
  <si>
    <t>Segundo a Solução de Consulta RFB COSIT nº 25/2022 - "Assim, em atenção à decisão proferida sob o rito de recursos repetitivos pelo Superior Tribinal de Justiça (STJ) no Recurso Especial nº 1.230.957/RS, o Parecer SEI nº 1446/2021/ME, foi aprovado pelo Procurador-Geral da Fazenda Nacional através do Despacho nº 40/2021/PGFN-ME, em 2 de fevereiro de 2021. Diante do exposto, a RFB passou a vincular-se ao entendimento judicial que reconhece que a contribuição previdenciária patronal não incide sobre a importância paga pelo empregador ao empregado nos quinze primeiros dias que antecedem o auxílio-doença".</t>
  </si>
  <si>
    <t>Subtotal A a D e F a G</t>
  </si>
  <si>
    <t>Incidência do submódulos 2.3, 2.4 e módulo 3 sobre o Custo de Reposição</t>
  </si>
  <si>
    <t>QUADRO RESUMO  - CONTRIBUIÇÕES SOCIAIS E CUSTOS TRABALHISTAS</t>
  </si>
  <si>
    <t>Total percentual das contribuições sociais e custos trabalhistas</t>
  </si>
  <si>
    <t>CNAE</t>
  </si>
  <si>
    <t>RAT</t>
  </si>
  <si>
    <t>FPAS</t>
  </si>
  <si>
    <t>Descrição da Atividade</t>
  </si>
  <si>
    <t>81.11-7/00</t>
  </si>
  <si>
    <t>Serviços combinados para apoio a edifícios, exceto condomínios prediais</t>
  </si>
  <si>
    <t>Art. 109 - D, inciso XVIII c/c Art. 109-E, inciso IV da IN RFB nº 971/2009.</t>
  </si>
  <si>
    <t>ITEM</t>
  </si>
  <si>
    <t>DESCRIÇÃO</t>
  </si>
  <si>
    <t>PERCENTUAL</t>
  </si>
  <si>
    <t>VALOR (R$)</t>
  </si>
  <si>
    <t>Módulo 1: Composição da Remuneração</t>
  </si>
  <si>
    <t>Salário-Base</t>
  </si>
  <si>
    <t xml:space="preserve">Adicional de Periculosidade </t>
  </si>
  <si>
    <t>Base de Cálculo Adicional de Insalubridade</t>
  </si>
  <si>
    <t>Adicional de Insalubridade</t>
  </si>
  <si>
    <t>Adicional Noturno</t>
  </si>
  <si>
    <t>Hora Noturna Adicional</t>
  </si>
  <si>
    <t>Adicional de Hora Extra</t>
  </si>
  <si>
    <t>Subtotal da Remuneração para incidência das contribuções sociais e custos trabalhistas:</t>
  </si>
  <si>
    <t xml:space="preserve">Verbas de natureza indenizatória </t>
  </si>
  <si>
    <t xml:space="preserve">Indenização por Intervalo Intrajornada não concedido </t>
  </si>
  <si>
    <t xml:space="preserve">Incidência do  Submódulo 2.2 (SC´s - RFB COSIT nºs 108, de 07/06/2023 e 99009, de 14/08/2023) </t>
  </si>
  <si>
    <t>Total da Remuneração – Módulo 1:</t>
  </si>
  <si>
    <t>Módulo 2: Encargos e Benefícios Anuais, Mensais e Diários</t>
  </si>
  <si>
    <t>Submódulo 2.1 – Benefícios Mensais e Diários:</t>
  </si>
  <si>
    <t>Transporte</t>
  </si>
  <si>
    <t>Desconto Legal do Vale-Transporte (6% salário-base)</t>
  </si>
  <si>
    <t>Auxílio-Saúde</t>
  </si>
  <si>
    <t>Assistência Funeral</t>
  </si>
  <si>
    <t>Assistência Odontológica</t>
  </si>
  <si>
    <t>Contribuição Assistencial Patronal</t>
  </si>
  <si>
    <t>Total de Benefícios Mensais e Diários - Submódulo 2.1:</t>
  </si>
  <si>
    <t>Submódulo 2.2 – Encargos Previdenciários, FGTS e outras contribuições:</t>
  </si>
  <si>
    <r>
      <rPr>
        <b/>
        <sz val="20"/>
        <color theme="1"/>
        <rFont val="Arial Narrow"/>
        <family val="2"/>
      </rPr>
      <t>INSS</t>
    </r>
    <r>
      <rPr>
        <sz val="20"/>
        <color theme="1"/>
        <rFont val="Arial Narrow"/>
        <family val="2"/>
      </rPr>
      <t xml:space="preserve"> (Lei nº 8.212/91, art. 22, inciso I)</t>
    </r>
  </si>
  <si>
    <r>
      <rPr>
        <b/>
        <sz val="20"/>
        <color theme="1"/>
        <rFont val="Arial Narrow"/>
        <family val="2"/>
      </rPr>
      <t>SESI</t>
    </r>
    <r>
      <rPr>
        <sz val="20"/>
        <color theme="1"/>
        <rFont val="Arial Narrow"/>
        <family val="2"/>
      </rPr>
      <t xml:space="preserve"> (Lei nº 8.036/90, art. 30 e Decreto Lei nº 9.403/46) ou </t>
    </r>
    <r>
      <rPr>
        <b/>
        <sz val="20"/>
        <color theme="1"/>
        <rFont val="Arial Narrow"/>
        <family val="2"/>
      </rPr>
      <t>SESC</t>
    </r>
    <r>
      <rPr>
        <sz val="20"/>
        <color theme="1"/>
        <rFont val="Arial Narrow"/>
        <family val="2"/>
      </rPr>
      <t xml:space="preserve"> (Lei nº 8.036/90, art.30 e Decreto Lei nº 9.853/46) ou </t>
    </r>
    <r>
      <rPr>
        <b/>
        <sz val="20"/>
        <color theme="1"/>
        <rFont val="Arial Narrow"/>
        <family val="2"/>
      </rPr>
      <t>SEST</t>
    </r>
    <r>
      <rPr>
        <sz val="20"/>
        <color theme="1"/>
        <rFont val="Arial Narrow"/>
        <family val="2"/>
      </rPr>
      <t xml:space="preserve"> (art. 7º da Lei nº 8.706/93)</t>
    </r>
  </si>
  <si>
    <r>
      <rPr>
        <b/>
        <sz val="20"/>
        <color theme="1"/>
        <rFont val="Arial Narrow"/>
        <family val="2"/>
      </rPr>
      <t>INCRA</t>
    </r>
    <r>
      <rPr>
        <sz val="20"/>
        <color theme="1"/>
        <rFont val="Arial Narrow"/>
        <family val="2"/>
      </rPr>
      <t xml:space="preserve"> (Decreto-Lei nº 1.146/70 e Lei nº 2.613/55)</t>
    </r>
  </si>
  <si>
    <r>
      <rPr>
        <b/>
        <sz val="20"/>
        <color theme="1"/>
        <rFont val="Arial Narrow"/>
        <family val="2"/>
      </rPr>
      <t>Salário Educação</t>
    </r>
    <r>
      <rPr>
        <sz val="20"/>
        <color theme="1"/>
        <rFont val="Arial Narrow"/>
        <family val="2"/>
      </rPr>
      <t xml:space="preserve"> (Lei 9.424/96, art.15, Lei nº 9.766/98 e Decreto nº 6.003/06, art 2º)</t>
    </r>
  </si>
  <si>
    <r>
      <rPr>
        <b/>
        <sz val="20"/>
        <rFont val="Arial Narrow"/>
        <family val="2"/>
      </rPr>
      <t>FGTS</t>
    </r>
    <r>
      <rPr>
        <sz val="20"/>
        <rFont val="Arial Narrow"/>
        <family val="2"/>
      </rPr>
      <t xml:space="preserve"> (Lei nº 8.036/90, art.15)</t>
    </r>
  </si>
  <si>
    <r>
      <rPr>
        <b/>
        <sz val="20"/>
        <color theme="1"/>
        <rFont val="Arial Narrow"/>
        <family val="2"/>
      </rPr>
      <t>RAT</t>
    </r>
    <r>
      <rPr>
        <sz val="20"/>
        <color theme="1"/>
        <rFont val="Arial Narrow"/>
        <family val="2"/>
      </rPr>
      <t xml:space="preserve"> X </t>
    </r>
    <r>
      <rPr>
        <b/>
        <sz val="20"/>
        <color theme="1"/>
        <rFont val="Arial Narrow"/>
        <family val="2"/>
      </rPr>
      <t>FAP</t>
    </r>
    <r>
      <rPr>
        <sz val="20"/>
        <color theme="1"/>
        <rFont val="Arial Narrow"/>
        <family val="2"/>
      </rPr>
      <t xml:space="preserve"> (Lei nº 8.212/91, art. 22, inciso II e Lei nº 10.666/03, art. 10)</t>
    </r>
  </si>
  <si>
    <r>
      <rPr>
        <b/>
        <sz val="20"/>
        <color theme="1"/>
        <rFont val="Arial Narrow"/>
        <family val="2"/>
      </rPr>
      <t>SEBRAE</t>
    </r>
    <r>
      <rPr>
        <sz val="20"/>
        <color theme="1"/>
        <rFont val="Arial Narrow"/>
        <family val="2"/>
      </rPr>
      <t xml:space="preserve"> (Lei nº 8.029/90, art. 8º, alterado pelas Leis nºs: 8.154/90 e 11.080/04)</t>
    </r>
  </si>
  <si>
    <t>Total Encargos Previdenciários, FGTS e outras contribuições - Submódulo 2.2:</t>
  </si>
  <si>
    <t>Submódulo 2.3 – 13º Salário e Adicional de Férias</t>
  </si>
  <si>
    <t>Incidência do submódulo 2.2 sobre 13º Salário e Adicional de Férias</t>
  </si>
  <si>
    <t>Total 13º Salário e Adicional de Férias – Submódulo 2.3:</t>
  </si>
  <si>
    <t>Submódulo 2.4 – Afastamento-Maternidade:</t>
  </si>
  <si>
    <t>Férias Proporcionais ao Afastamento-Maternidade</t>
  </si>
  <si>
    <t>Incidência do submódulo 2.2 sobre as Férias Proporcionais</t>
  </si>
  <si>
    <t>Total Afastamento-Maternidade – Submódulo 2.4:</t>
  </si>
  <si>
    <t>Total dos Encargos e Benefícios Anuais, Mensais e Diários - Módulo 2:</t>
  </si>
  <si>
    <t>Módulo 3: Provisão para Rescisão</t>
  </si>
  <si>
    <t>Incidência do FGTS sobre o aviso prévio indenizado</t>
  </si>
  <si>
    <t>Multa do FGTS para Rescisão sem justa Causa</t>
  </si>
  <si>
    <t>Indenização Adicional</t>
  </si>
  <si>
    <t>Total da Provisão para Rescisão – Módulo 3:</t>
  </si>
  <si>
    <t>Módulo 4 – Custo de Reposição do Profissional Ausente</t>
  </si>
  <si>
    <t>Reposição referente a Licença-Paternidade</t>
  </si>
  <si>
    <t>Reposição relativa à Ausência por Doença</t>
  </si>
  <si>
    <t>Incidência dos submódulos 2.3, 2.4 e Módulo 3 sobre o Custo de Reposição</t>
  </si>
  <si>
    <t>Total do Custo de Reposição do Profissional Ausente – Módulo 4:</t>
  </si>
  <si>
    <t>Total de Encargos Sociais e Trabalhistas constantes dos Módulos 2 (2.2, 2.3 e 2.4), 3 e 4:</t>
  </si>
  <si>
    <t>Módulo 5: Insumos Diversos</t>
  </si>
  <si>
    <t>Uniformes</t>
  </si>
  <si>
    <t>Equipamentos a serem compartilhados entre os diversos turnos de execução</t>
  </si>
  <si>
    <t>Equipamentos individulizados por profissional do posto</t>
  </si>
  <si>
    <t>Total de Insumos Diversos – Módulo 5:</t>
  </si>
  <si>
    <t xml:space="preserve">SubTotal Módulos 1, 2, 3,4 e 5:      </t>
  </si>
  <si>
    <t>1)</t>
  </si>
  <si>
    <t xml:space="preserve">Cálculo do módulo 1 e submódulo 2.1 conforme convenção Coletiva de Trabalho 2024/2024, celebrada entre Sindicato das Empresas de Asseio, Conservação, Trabalho Temporários e Serviços Terceirizáveis do Distrito Federal (SEAC/DF) e o Sindicado dos Empregados das Empresas de Asseio, Conservação, Trabalhos Temporários e Serviços Terceirizáveis do DF (SINDISERVICOS/DF), registrada no MTE, em 10/01/2024. </t>
  </si>
  <si>
    <t>2)</t>
  </si>
  <si>
    <t>3)</t>
  </si>
  <si>
    <t>Por força da Lei Distrital nº 4.799/2012, a CONTRATADA deverá custear plano de saúde aos prestadores de serviços vinculados à presente contratação.</t>
  </si>
  <si>
    <t>4)</t>
  </si>
  <si>
    <t>A apropriação dos Custos Indiretos, Lucros e Tributos (BDI - Módulo 6) é feita  na Planilha Resumo dos Preços dos Serviços.</t>
  </si>
  <si>
    <t>Cálculo do Valor Mensal a ser glosado da fatura e destinado à conta Vinculada</t>
  </si>
  <si>
    <t>Salário Bruto</t>
  </si>
  <si>
    <t>Percentual total a ser destinado à conta vinculada, conforme Decreto Distrital nº 34.649/2013, com redação dada pelo Decreto Distrital nº 36.164/2014 (Anexo).</t>
  </si>
  <si>
    <t>13º salário</t>
  </si>
  <si>
    <t>Férias</t>
  </si>
  <si>
    <t>FGTS</t>
  </si>
  <si>
    <t>Encargos s/ 13º salário</t>
  </si>
  <si>
    <t>Encargos s/ Férias</t>
  </si>
  <si>
    <t>Total a ser glosado para 1 (um) profissional</t>
  </si>
  <si>
    <t>Nº de Funcionários contratados</t>
  </si>
  <si>
    <t xml:space="preserve">Valor Mensal por tipo de posto a ser glosado da fatura e destinado à conta vinculada da empresa </t>
  </si>
  <si>
    <t>DISCRIMINAÇÃO</t>
  </si>
  <si>
    <t>Unid.</t>
  </si>
  <si>
    <t>Média</t>
  </si>
  <si>
    <t>Kg</t>
  </si>
  <si>
    <t/>
  </si>
  <si>
    <t>1.1</t>
  </si>
  <si>
    <t>1.2</t>
  </si>
  <si>
    <t>Valores com BDI</t>
  </si>
  <si>
    <t>Percentual de Contribuição</t>
  </si>
  <si>
    <t>UNID.</t>
  </si>
  <si>
    <t>QUANT.</t>
  </si>
  <si>
    <t>PREÇO UNITÁRIO</t>
  </si>
  <si>
    <t>SUBTOTAL</t>
  </si>
  <si>
    <t>TOTAL MENSAL</t>
  </si>
  <si>
    <t>Vl. Unitário</t>
  </si>
  <si>
    <t>Valor Mensal</t>
  </si>
  <si>
    <t>Valor Total</t>
  </si>
  <si>
    <t>Serviços Contínuos de Operação e Manutenção - Equipe Permanente de Manutenção</t>
  </si>
  <si>
    <t>Mês</t>
  </si>
  <si>
    <t>2.1</t>
  </si>
  <si>
    <t xml:space="preserve"> Custos Indiretos, Lucro e Tributos ( BDI - Módulo 6)</t>
  </si>
  <si>
    <t>6.1</t>
  </si>
  <si>
    <t>Despesa Administrativa</t>
  </si>
  <si>
    <t>6.2</t>
  </si>
  <si>
    <t>Lucro</t>
  </si>
  <si>
    <t>,</t>
  </si>
  <si>
    <t>6.3</t>
  </si>
  <si>
    <t>Impostos Sobre o Faturamento</t>
  </si>
  <si>
    <t>T0</t>
  </si>
  <si>
    <t>Vt</t>
  </si>
  <si>
    <t>6.3.1</t>
  </si>
  <si>
    <t>ISS</t>
  </si>
  <si>
    <t>6.3.2</t>
  </si>
  <si>
    <t>PIS</t>
  </si>
  <si>
    <t>6.3.3</t>
  </si>
  <si>
    <t>COFINS</t>
  </si>
  <si>
    <t>Fórmula para encontrar o valor mensal estimado dos serviços (P1) e Valor Total dos Tributos (Vt)</t>
  </si>
  <si>
    <t>P1 = P0 + Vt</t>
  </si>
  <si>
    <t>Vt = T0 x P1</t>
  </si>
  <si>
    <t>P1 = P0 / (1 - T0)</t>
  </si>
  <si>
    <t>TOTAL GERAL MENSAL ESTIMADO</t>
  </si>
  <si>
    <t>P1</t>
  </si>
  <si>
    <t>TOTAL GERAL ESTIMADO PARA 12 (DOZE) MESES</t>
  </si>
  <si>
    <t>BDI</t>
  </si>
  <si>
    <t xml:space="preserve">O presente orçamento foi elaborado tendo por base o regime de tributação pelo Lucro Real. </t>
  </si>
  <si>
    <r>
      <rPr>
        <sz val="14"/>
        <rFont val="Arial Narrow"/>
        <family val="2"/>
      </rPr>
      <t xml:space="preserve"> Na formulação de sua proposta, a licitante deverá ainda informar e observar: o regime de tributação ao qual está submetida, inclusive no tocante à incidência das alíquotas de ISS, PIS e COFINS sobre seu faturamento, de acordo com as Leis nºs 10.637/2002 e 10.833/2003, e demais legislação tributária aplicável ao caso concreto</t>
    </r>
    <r>
      <rPr>
        <sz val="14"/>
        <color rgb="FFFF0000"/>
        <rFont val="Arial Narrow"/>
        <family val="2"/>
      </rPr>
      <t>.</t>
    </r>
  </si>
  <si>
    <t>As empresas sujeitas ao regime de tributação de incidência não cumulativa de PIS e Cofins deverão comprovar que as alíquotas dos referidos tributos adotados na taxa de BDI correspondem à média dos percentuais efetivos recolhidos em virtude do direito de compensação dos créditos previstos no art. 3º das Leis nºs 10.637/2002 e 10.833/2003, de forma a garantir que os preços contratados pela administração pública reflitam os benefícios tributários concedidos pela legislação tributária. A comprovação de que trata este item poderá ser feita pelo cálculo da média dessas contribuições dos últimos 12 (doze) meses disponíveis, mediante a apresentação dos recibos de entrega de escrituração fiscal digital (EFD / SPED), ou, pelo cálculo da média dos recibos de que trata o item anterior.</t>
  </si>
  <si>
    <t>Nos termos da Decisão TCDF nº 544/2010 as parcelas referentes à Contribuição Social sobre o Lucro (CSLL) e ao Imposto de Renda sobre Pessoa Jurídica (IRPJ) devem ser incluídas na rubrica Lucro Bruto. Nesse sentido, as licitantes que elaborarem sua proposta utilizando o regime de tributação pelo lucro presumido, tendo em vista que nesse regime as bases de cálculo de incidência do IRPJ e da CSLL são fixadas em lei (Receita Bruta – Faturamento), deverão assegurar que o valor atribuído ao Lucro Bruto seja suficiente para arcar com as despesas desses tributos, conforme critério de aceitabilidade constante do Anexo XII do Edital.</t>
  </si>
  <si>
    <r>
      <rPr>
        <sz val="14"/>
        <rFont val="Arial Narrow"/>
        <family val="2"/>
      </rPr>
      <t xml:space="preserve">No preenchimento da proposta pela licitante, favor </t>
    </r>
    <r>
      <rPr>
        <b/>
        <u/>
        <sz val="14"/>
        <rFont val="Arial Narrow"/>
        <family val="2"/>
      </rPr>
      <t>observar todo o conteúdo do presente edital e respectivos Anexos</t>
    </r>
    <r>
      <rPr>
        <sz val="14"/>
        <rFont val="Arial Narrow"/>
        <family val="2"/>
      </rPr>
      <t>.</t>
    </r>
  </si>
  <si>
    <t>Pesquisa_Salarial  - Manutenção Predial</t>
  </si>
  <si>
    <t>Fonte:</t>
  </si>
  <si>
    <t>Câmara CT nº 125/2020</t>
  </si>
  <si>
    <t>PE nº 37/2021 - TCU</t>
  </si>
  <si>
    <t>PE nº 34/2021 - TST</t>
  </si>
  <si>
    <t>PCDF - Pregão 52/2020</t>
  </si>
  <si>
    <t>MCTIC - Pregão 07/2020</t>
  </si>
  <si>
    <t>PE nº 05/2021 - INCRA *</t>
  </si>
  <si>
    <t>Contrato nº 11/2020 - CNJ*</t>
  </si>
  <si>
    <t>PE nº 06/2021 - CJF</t>
  </si>
  <si>
    <t>Salários atualmente praticados no âmbito do CT TCDF 07/2017  e propostos para a  nova contratação</t>
  </si>
  <si>
    <t>DIF</t>
  </si>
  <si>
    <t>Encarregado Geral*</t>
  </si>
  <si>
    <t>Encarregado Setorial (CBO 7102-05)*</t>
  </si>
  <si>
    <t>Técnico_Telefonia e Rede (CBO 3133-15)*</t>
  </si>
  <si>
    <t>Técnico_Ar Condicionado (CBO 7257-05)*</t>
  </si>
  <si>
    <t>PE nº 07/2020 - MCTI *</t>
  </si>
  <si>
    <t>PE nº 05/2021 - CNMP</t>
  </si>
  <si>
    <t>Proposta Ágil</t>
  </si>
  <si>
    <t>Proposta Atlântico</t>
  </si>
  <si>
    <t>Proposta Engepron</t>
  </si>
  <si>
    <t>Proposta DFL</t>
  </si>
  <si>
    <t>Média apenas Preços Públicos</t>
  </si>
  <si>
    <t>Dif. em rel. P. Públicos</t>
  </si>
  <si>
    <t>A elaboração do presente orçamento, conforme planilhas constantes do Termo de Referência, teve por base as orientações da Decisão TCDF nº 544/2010, tendo-se adotado como referência de preços  para alguns postos de serviço um valor ligeiramente acima ou abaixo do menor valor entre a média e a mediana dos preços pesquisados, por entender que tal montante é o que mais se aproxima do valor de mercado, considerando as especificações constantes do Termo de Referência. Frise-se que os valores orçados para a contratação irão cair após o processo licitatório, em razão de ajustes  ao valor proposto pelo licitante vencendor, em especial as rubricas relativas a uniformes, vale-transporte, RAT x FAP, custo de reposição do profissional ausente (módulo 4), despesas admistrativas, lucro e tributos (em especial casos de desoneração tributária). Parte das diferenças encontradas também se deve a existência de adicionais (insalubridade ou periculosidade) na composição do custo direto da mão de obra de alguns postos e não existência desses adicionais nos postos análogos nos contratos públicos utilizados para fins de comparação.</t>
  </si>
  <si>
    <t xml:space="preserve">* Valores unitários atualizados conforme o percentual de reajuste salarial constante da(s) Convenção(ões) Coletiva(s) de Trabalho 2021/2021, celebrada(s):  entre o Sindicato da Indústria da Construção Civil do Distrito Federal (SINDUSCON-DF) e o Sindicato dos Engenheiros no Distrito Federal (SENGE-DF), registrada no MTE em 17/06/2021; e o Sindicado da Indústria da Construção Civil do Distrito Federal (SINDUSCON/DF) e o Sindicato dos Trabalhadores nas Indústrias da Construção e do Mobiliário de Brasília (STICOMBE/DF), registrada no MTE em 14/05/2021. </t>
  </si>
  <si>
    <t>Total - Demais Componentes:</t>
  </si>
  <si>
    <t>Comprovação de atendimento ao disposto no item 9.3.16.1 do Anexo I do Edital</t>
  </si>
  <si>
    <t>Descrição</t>
  </si>
  <si>
    <t>Alíquota</t>
  </si>
  <si>
    <t>Valor</t>
  </si>
  <si>
    <t>Preço Mensal dos Serviços (Faturamento - Receita Bruta)</t>
  </si>
  <si>
    <t>Base de Cálculo para apuração do IRPJ pelo Lucro Presumido (Art. 15 da Lei nº 9.249/1995)</t>
  </si>
  <si>
    <t>Alíquota Normal (Art. 3º da Lei nº 9.249/1995) x Base de Cálculo IRPJ - Lucro Presumido</t>
  </si>
  <si>
    <t xml:space="preserve">Alíquota Adicional de 10% ( acima de R$20.000,00 por mês - art. 3º,§1º da Lei nº 9.249/1995) </t>
  </si>
  <si>
    <t>Total do IRPJ pelo Lucro Presumido:</t>
  </si>
  <si>
    <t>Base de Cálculo para apuração da CSLL  (Art. 20 da Lei nº 9.249/1995)</t>
  </si>
  <si>
    <t>Total da CSLL pelo Lucro Presumido  (Art.3º, inciso III da Lei nº 7.689/1988)</t>
  </si>
  <si>
    <t>Total de IRPJ e CSLL pelo Lucro Presumido:</t>
  </si>
  <si>
    <t>W</t>
  </si>
  <si>
    <t>CHECK VISUAL</t>
  </si>
  <si>
    <t>Valor da Rubrica Lucro Bruto constante da Planlilha do Resumo dos Preços dos Serviços:</t>
  </si>
  <si>
    <t>Critério de Aceitabilidade de Porposta elaborada utilizando o regime de tributação pelo Lucro Presumido:</t>
  </si>
  <si>
    <t>F &gt; = W</t>
  </si>
  <si>
    <t>Maior ou igual</t>
  </si>
  <si>
    <t>Fundamento Legal</t>
  </si>
  <si>
    <t>Leis nºs: 7.689/1988, 9.249/1995 e 9.430/1996, Decreto nº 3.000/1999 e IN SRRF nº 1700/2017 .</t>
  </si>
  <si>
    <t xml:space="preserve">A Receita Bruta compreende o preço da prestação de serviços em geral  (art. 12 do Decreto-Lei nº 1.598, de 1977, nos termos do art. 2º e caput do art. 3º da Lei nº 9.718, de 1998). </t>
  </si>
  <si>
    <t>Dados retirados do Recibo
EFD - Contribuições</t>
  </si>
  <si>
    <t>Contribuição Social</t>
  </si>
  <si>
    <t>Tipo de Incidência</t>
  </si>
  <si>
    <t>Efetua-se cálculo Reverso para encontrar o Faturamento</t>
  </si>
  <si>
    <t>Faturamento Mensal
A</t>
  </si>
  <si>
    <t>Contribuição Apurada
B = A x 1,65% ou 
B = A x 0,65%</t>
  </si>
  <si>
    <t>Crédito Descontado
C</t>
  </si>
  <si>
    <t>Retenções e outras deduções
D</t>
  </si>
  <si>
    <t>Contribuição a Recolher
E = B - C -D</t>
  </si>
  <si>
    <t>Outras Deduções
(***)
F</t>
  </si>
  <si>
    <t>PIS - Efet. Devido
G = B - C- F</t>
  </si>
  <si>
    <t>Percentual Efetivo
H = G/A</t>
  </si>
  <si>
    <t>Contribuição Apurada
B = A x 7,60% ou
B = A x 3,00%</t>
  </si>
  <si>
    <t>COFINS - Efet. Devida
G = B - C - F</t>
  </si>
  <si>
    <t>Percentual
Efetivo
H = G / A</t>
  </si>
  <si>
    <t>Não Cumulativa</t>
  </si>
  <si>
    <t>PIS = FAT*1,65%</t>
  </si>
  <si>
    <t>FAT(A) = PIS (B)/1,65%</t>
  </si>
  <si>
    <t>COFINS = FAT*7,60%</t>
  </si>
  <si>
    <t>FAT(A) = COFINS (B)/7,60%</t>
  </si>
  <si>
    <t>Cumulativa</t>
  </si>
  <si>
    <t>PIS = FAT * 0,65%</t>
  </si>
  <si>
    <t>FAT(A) = PIS (B) / 0,65%</t>
  </si>
  <si>
    <t>COFINS = FAT*3,0%</t>
  </si>
  <si>
    <t>FAT (A) = COFINS (B)/3,0%</t>
  </si>
  <si>
    <t>Total (*)</t>
  </si>
  <si>
    <t>Média Encontrada para o PIS (**)</t>
  </si>
  <si>
    <t>Média Encontrada para a COFINS (**)</t>
  </si>
  <si>
    <t>(*)</t>
  </si>
  <si>
    <t xml:space="preserve">Cálculo Obrigatório para as empresas tributadas pelo Lucro Presumido ou Lucro Real </t>
  </si>
  <si>
    <t>(**)</t>
  </si>
  <si>
    <t>Cálculo Obrigatório para as empresas submetidas à incidência não cumulativa de PIS e COFINS</t>
  </si>
  <si>
    <t>(***)</t>
  </si>
  <si>
    <t>Caso a licitante deseje contemplar em seus cálculos a coluna de outras deduções, essa deverá apresentar além dos recibos do EFD - Contribuições,  o relatório de "Consolidação da Contribuição para o PIS e COFINS",  emitido pelo EFD-Contribuições, para o mês de competência da dedução.</t>
  </si>
  <si>
    <t>Faturamento - PIS</t>
  </si>
  <si>
    <t>Fat - COFINS</t>
  </si>
  <si>
    <t>Fundamento do Mecanismo</t>
  </si>
  <si>
    <t xml:space="preserve">item </t>
  </si>
  <si>
    <t>9.3.2.4</t>
  </si>
  <si>
    <t>ac tcu 2622/2013</t>
  </si>
  <si>
    <t>p.76</t>
  </si>
  <si>
    <t>Faturamento - COFINS</t>
  </si>
  <si>
    <t>Maior Valor Apurado para Faturamento</t>
  </si>
  <si>
    <t>Faturamento DRE</t>
  </si>
  <si>
    <t>Limite Inferior de Variação</t>
  </si>
  <si>
    <t>Limite Superior de Variação</t>
  </si>
  <si>
    <t>VERFICAÇÃO RELATIVA AO CAPÍTULO XIV e ANEXO IX</t>
  </si>
  <si>
    <t>VERIFICAR ÍNDICES CONTÁBEIS</t>
  </si>
  <si>
    <t>PL da Empresa é Superior a 10% VEC</t>
  </si>
  <si>
    <t>Valor estimado Contratação (VEC)</t>
  </si>
  <si>
    <t>Conferência relação de compromissos</t>
  </si>
  <si>
    <t>Valor Mensal dos Contratos</t>
  </si>
  <si>
    <t>Valor do Patrimônio Líquido</t>
  </si>
  <si>
    <t>Receita Operacional Bruta</t>
  </si>
  <si>
    <t>Checks Visuais</t>
  </si>
  <si>
    <t>inciso XI do item 14.3</t>
  </si>
  <si>
    <t>item 14.7</t>
  </si>
  <si>
    <t>Retenções 
D</t>
  </si>
  <si>
    <t>Retenções
D</t>
  </si>
  <si>
    <t>Supervisor</t>
  </si>
  <si>
    <t>4101-05</t>
  </si>
  <si>
    <t>Garçom</t>
  </si>
  <si>
    <t>5134-05</t>
  </si>
  <si>
    <t>VIAÇÃO TRANSPORTE COLETIVO DO ENTORNO LTDA</t>
  </si>
  <si>
    <t>7061470</t>
  </si>
  <si>
    <t>MONTE ALTO/W3 NORTE (INCRA08/BR070/EPTG)</t>
  </si>
  <si>
    <t>2077</t>
  </si>
  <si>
    <t>MONTE ALTO/W3 NORTE (RPP/FASSINCRA/EPTG)</t>
  </si>
  <si>
    <t>2076</t>
  </si>
  <si>
    <t>RES. OURO VERDE / BRAZLÂNDIA</t>
  </si>
  <si>
    <t>2497</t>
  </si>
  <si>
    <t>MONTE ALTO/BRAZLÂNDIA (POR FORA)</t>
  </si>
  <si>
    <t>2496</t>
  </si>
  <si>
    <t>12500370</t>
  </si>
  <si>
    <t>PINHEIRO 2/GUARA 1 e 2 - PARK SHOPPING (EPTG)</t>
  </si>
  <si>
    <t>2602.1</t>
  </si>
  <si>
    <t>CHIOLA/SIA-W3 SUL (ESTRUTUTAL)</t>
  </si>
  <si>
    <t>PINHEIRO 2/SIA - W3 SUL (ESTRUTUTAL)</t>
  </si>
  <si>
    <t>2363.1</t>
  </si>
  <si>
    <t>PINHEIRO 2/SAAN - NOROESTE (ESTRUTURAL)</t>
  </si>
  <si>
    <t>2361.1</t>
  </si>
  <si>
    <t>PINHEIRO 2/T.CRUZEIRO - SETOR.GRÁFICO (ESTRUTURAL)</t>
  </si>
  <si>
    <t>2324.3</t>
  </si>
  <si>
    <t>PINHEIRO 2/SETOR.GRÁFICO-HFA (ESTRUTURAL)</t>
  </si>
  <si>
    <t>2324.2</t>
  </si>
  <si>
    <t>PINHEIRO 2/SETOR.GRÁFICO-HFA-RPP (ESTRUTURAL)</t>
  </si>
  <si>
    <t>2324.1</t>
  </si>
  <si>
    <t>PINHEIRO 1/SETOR.GRÁFICO (ESTRUTURAL-HFA)</t>
  </si>
  <si>
    <t>2323.1</t>
  </si>
  <si>
    <t xml:space="preserve">CHIOLA/SETOR GRÁFICO(ESTRUTURAL) </t>
  </si>
  <si>
    <t>2320.1</t>
  </si>
  <si>
    <t>PINHEIRO 2/W3 NORTE - L2 NORTE (ESTRUTURAL - EIXO MONUMENTAL)</t>
  </si>
  <si>
    <t>2069.1</t>
  </si>
  <si>
    <t>PINHEIRO 1/W3 NORTE - L2 NORTE (ESTRUTURAL - EIXO MONUMENTAL)</t>
  </si>
  <si>
    <t>2066.1</t>
  </si>
  <si>
    <t>PINHEIRO 2/ESPLANADA - RPP (ESTRUTURAL - EIXO MONUMENTAL)</t>
  </si>
  <si>
    <t>2049.1</t>
  </si>
  <si>
    <t xml:space="preserve">PINHEIRO 2/ROD. P. PILOTO(EPTG-EIXO SUL) </t>
  </si>
  <si>
    <t>2015.1</t>
  </si>
  <si>
    <t>PEROLA 2 / ROD. P. PILOTO (EPTG-EIXO SUL)</t>
  </si>
  <si>
    <t>2008.1</t>
  </si>
  <si>
    <t>PARQUE SAD/ ROD. QUEIROZ/ BRASÍLIA/ PARK SHOPPING/ NOROESTE</t>
  </si>
  <si>
    <t>SANTO ANTÔNIO DESCOBERTO (GO) / BRASÍLIA (DF) SIA TRECHO 2/3 - SIG</t>
  </si>
  <si>
    <t>SANTO ANTÔNIO DESCOBERTO (GO) / BRASÍLIA (DF) VIA SIG / ÁGUAS CLARAS</t>
  </si>
  <si>
    <t>SANTO ANTÔNIO DESCOBERTO (GO) / BRASÍLIA (DF) VIA EIXO</t>
  </si>
  <si>
    <t>SANTO ANTÔNIO DESCOBERTO (GO) / BRASÍLIA (DF) VIA PARK SHOPPING, NOROESTE</t>
  </si>
  <si>
    <t>SANTO ANTÔNIO DESCOBERTO (GO) / BRASÍLIA VIA PARK SHOPPING, NOROESTE</t>
  </si>
  <si>
    <t>ROTA DO SOL TRANSPORTES E TURISMO LTDA</t>
  </si>
  <si>
    <t>PARQUE INDUSTRIAL MINGONE</t>
  </si>
  <si>
    <t>JARDIM INGÁ - SIA/SAAN VIA PARKSHOPPING / P.E.D. 8</t>
  </si>
  <si>
    <t>JARDIM INGÁ - ESPLANADA, VIA P.E.D. 10</t>
  </si>
  <si>
    <t>SOL NASCENTE - W3 SUL E NORTE VIA CIDADE FRANCAROLI E OSFAYA</t>
  </si>
  <si>
    <t>JARDIM INGÁ - W3 SUL E NORTE, VIA P.E.D 10</t>
  </si>
  <si>
    <t>JARDIM INGÁ - W3 NORTE VIA P.E.D. 9 / MINGONE I / SETOR GRAFICO / PARKSHOPPING</t>
  </si>
  <si>
    <r>
      <t>ROD. JACAREZINHO – OURINHOS VIA MARQUÊS DOS REIS E PONTE NOVA</t>
    </r>
    <r>
      <rPr>
        <sz val="12"/>
        <color rgb="FF000000"/>
        <rFont val="Times New Roman"/>
        <family val="1"/>
      </rPr>
      <t xml:space="preserve"> </t>
    </r>
  </si>
  <si>
    <r>
      <t>ROD. S. A. PLATINA – OURINHOS VIA JACAREZINHO E PONTE NOVA</t>
    </r>
    <r>
      <rPr>
        <sz val="12"/>
        <color rgb="FF000000"/>
        <rFont val="Times New Roman"/>
        <family val="1"/>
      </rPr>
      <t xml:space="preserve"> </t>
    </r>
  </si>
  <si>
    <t>LUZIÂNIA – ROD. TAGUATINGA VIA PQ. ALVORADA / PISTÃO SUL</t>
  </si>
  <si>
    <t>ROD. LUZIÂNIA/GO - ROD. TAGUATINGA, VIA PISTÃO SUL</t>
  </si>
  <si>
    <t>LUZIÂNIA/GO - SANTA MARIA/DF (BRT)</t>
  </si>
  <si>
    <t>LUZIÂNIA – ROD. GAMA VIA PQ. ALVORADA / DF-290</t>
  </si>
  <si>
    <t xml:space="preserve">
ROD. LUZIÂNIA/GO - L2 SUL/NORTE</t>
  </si>
  <si>
    <t>QUANTITATIVO ESTIMADO MENSAL DE MATERIAIS DE CONSUMO SOB DEMANDA</t>
  </si>
  <si>
    <t xml:space="preserve"> CT11/2017 - TCDF - Peça - 208
Processo nº 4529/2022</t>
  </si>
  <si>
    <t>SERVIÇOS DE COPA</t>
  </si>
  <si>
    <t>ESPECIFICAÇÃO</t>
  </si>
  <si>
    <t>QTD.</t>
  </si>
  <si>
    <t>VALOR UNITÁRIO</t>
  </si>
  <si>
    <t>MÉDIA</t>
  </si>
  <si>
    <t>VALOR UNITÁRIO ESTIMADO</t>
  </si>
  <si>
    <t>VALOR TOTAL</t>
  </si>
  <si>
    <t xml:space="preserve">VALOR UNITÁRIO </t>
  </si>
  <si>
    <t>Açúcar Refinado</t>
  </si>
  <si>
    <t>Água Sanitária (frasco 1 litro)</t>
  </si>
  <si>
    <t>Pacote</t>
  </si>
  <si>
    <t>Caixa</t>
  </si>
  <si>
    <t>Coador em tecido (p/ máquina de café 8l)</t>
  </si>
  <si>
    <t>Colher em inox para café</t>
  </si>
  <si>
    <t>Colher em inox para chá</t>
  </si>
  <si>
    <t>Copo de vidro de 300 ml (caixa com 06 peças)</t>
  </si>
  <si>
    <t>Guardanapo de papel medindo 32x30 cm aproximadamente (pct 50)</t>
  </si>
  <si>
    <t>Guardanapo de papel pequeno medindo 24x22 cm aproximadamente (pct 50)</t>
  </si>
  <si>
    <t>Jarra de Inox com tampa de 1,9 litros</t>
  </si>
  <si>
    <t>Pano de Limpeza</t>
  </si>
  <si>
    <t>Papel toalha branco extra, de 1ª qualidade, aproximadamente 22,5 cm, com duas dobras, pacote/fardo com 1.000 folhas</t>
  </si>
  <si>
    <t>Fardo</t>
  </si>
  <si>
    <t>Prato para sobremesa com friso dourado</t>
  </si>
  <si>
    <t>Dúzia</t>
  </si>
  <si>
    <t>Prato raso com friso dourado</t>
  </si>
  <si>
    <t>Xícara para café com pires com friso dourado</t>
  </si>
  <si>
    <t>Xícara para chá com friso dourado</t>
  </si>
  <si>
    <t>Bandeja redonda inox</t>
  </si>
  <si>
    <t>Açucareiro inox</t>
  </si>
  <si>
    <t>Garrafa térmica 1l</t>
  </si>
  <si>
    <t>Suporte para copo inox</t>
  </si>
  <si>
    <t>colher 27cm inox</t>
  </si>
  <si>
    <r>
      <t xml:space="preserve">CUSTO MENSAL DIRETO ESTIMADO PARA MATERIAL DE CONSUMO </t>
    </r>
    <r>
      <rPr>
        <b/>
        <u/>
        <sz val="12"/>
        <color theme="1"/>
        <rFont val="Arial Narrow"/>
        <family val="2"/>
      </rPr>
      <t>SEM BDI</t>
    </r>
  </si>
  <si>
    <t xml:space="preserve">PROPOSTA VENCEDORA </t>
  </si>
  <si>
    <t>DESCRIÇÃO DOS UNIFORMES DO SUPERVISOR - MASCULINO</t>
  </si>
  <si>
    <t xml:space="preserve">Blazer </t>
  </si>
  <si>
    <t>Gravata</t>
  </si>
  <si>
    <t>Em tecido 100% poliéster ou 100% seda, de boa qualidade.</t>
  </si>
  <si>
    <t xml:space="preserve">Camisa social </t>
  </si>
  <si>
    <t>Par de sapatos</t>
  </si>
  <si>
    <t>Estilo social em tecido, gola com entretela, 65% poliéster e 35% algodão, na cor cinza, com botões nos punhos e emblema da empresa bordado no lado superior esquerdo.</t>
  </si>
  <si>
    <t xml:space="preserve">Tipo esporte fino, com cadarço, de couro, solado de borracha, cor preto de boa qualidade. </t>
  </si>
  <si>
    <t>Calça comprida social, com ziper, com presilhas para cinto, na cor preta.</t>
  </si>
  <si>
    <t>Tecido 60% algodão, 39% poliamida e 1% elastano, cor preta, de boa qualidade.</t>
  </si>
  <si>
    <t>DESCRIÇÃO DOS UNIFORMES DO SUPERVISOR - FEMININO</t>
  </si>
  <si>
    <t xml:space="preserve">Calça / Saia </t>
  </si>
  <si>
    <t>Lenço</t>
  </si>
  <si>
    <t>Camisa Social</t>
  </si>
  <si>
    <t>Laço para cabelo</t>
  </si>
  <si>
    <t>Par de meias 3/4</t>
  </si>
  <si>
    <t>Na cor preta, em tecido tipo microfibra ou tiwei, de boa qualidade, forrado internamente, inclusive na manga, com emblema da empresa bordado no lado superior esquerdo, com 02 bolsos inferiores.</t>
  </si>
  <si>
    <t xml:space="preserve">Tipo esporte fino, com ziper, na cor preta e, no caso de saia na altura do joelho. </t>
  </si>
  <si>
    <t>Em crepe coxhibo, tipo laço com entretela compatível com o modelo, na cor preta e o nome da empresa na cor cinza, de boa qualidade.</t>
  </si>
  <si>
    <t>Em tecido VANESSA, gola com entretela compatível com o modelo, cor cinza, de boa qualidade.</t>
  </si>
  <si>
    <t>Prendedor de cabelos, com laço de rede, na cor preta.</t>
  </si>
  <si>
    <t>Na cor preta, de boa qualidade, de couro, tipo scarpin ou estilo boneca.</t>
  </si>
  <si>
    <t>Finas, de boa qualidade, na cor preto.</t>
  </si>
  <si>
    <t xml:space="preserve">DESCRIÇÃO DOS UNIFORMES DO GARÇOM </t>
  </si>
  <si>
    <t>Na cor preta, em tecido tipo microfibra ou tiwei, forrado internamente, inclusive na manga, de boa qualidade, emblema da empresa bordado no lado superior esquerdo, com 02 bolsos inferiores, com gola estrelada preta em cetim bucal.</t>
  </si>
  <si>
    <t>Tipo borboleta, fabricada em tecido 100% poliéster ou 100% seda, de boa qualidade.</t>
  </si>
  <si>
    <t>Estilo social em tecido 65% poliéster e 35% algodão, na cor branca, com botões nos punhos, com peito e gola em Piquet.</t>
  </si>
  <si>
    <t>Com manga, fabricado com material de boa qualidade (100% poliéster), fechado com botões.</t>
  </si>
  <si>
    <t xml:space="preserve">Confeccionado em microfibra,de boa qualidade, na cor preta e com ziper. </t>
  </si>
  <si>
    <t>Sapato feminino ou sandália social, na cor preta</t>
  </si>
  <si>
    <t>MATERIAIS DE CONSUMO SOB DEMANDA PARA OS SERVIÇOS DE COPA</t>
  </si>
  <si>
    <t>MATERIAL DE CONSUMO, variável, de acordo com os materiais efetivamente gastos na execução mensal dos serviços contínuos.</t>
  </si>
  <si>
    <t>CT STJ 66/2020</t>
  </si>
  <si>
    <t>Valores unitários atualizados conforme último aditivo de 13/01/2023 - valor se encontra acima da conveção coletiva, mas ainda não foi reajustado pela CCT2024</t>
  </si>
  <si>
    <t>CT CNJ 37/2022*</t>
  </si>
  <si>
    <t>CT TST 28/20</t>
  </si>
  <si>
    <t>Valores unitários atualizados conforme quinto termo de apostilamento de 05/04/2024 - atualizado com a CCT 2024</t>
  </si>
  <si>
    <t>Valores unitários atualizados conforme sexto termo de apostilamento de 05/04/2024 - atualizado com a CCT 2024 - Salário desde o ínicio do contrato é superior ao da CCT 2024</t>
  </si>
  <si>
    <t>Valores unitários atualizados conforme primeiro termo de apostilamento de 21/12/2023 - atualizado com a CCT 2023 - Salário desde o ínicio do contrato é superior ao da CCT 2024 - possui posto de encarregado ao invés de supervisor</t>
  </si>
  <si>
    <t>CT TSE 110/22*</t>
  </si>
  <si>
    <t>CT Senado 07/22*</t>
  </si>
  <si>
    <t>Produtiva</t>
  </si>
  <si>
    <t>Veneza</t>
  </si>
  <si>
    <t>Assaí</t>
  </si>
  <si>
    <t>Carrefour</t>
  </si>
  <si>
    <t>Grupo Ágil</t>
  </si>
  <si>
    <t>Central dist. Grandes Marcas</t>
  </si>
  <si>
    <t>Grupo ágil</t>
  </si>
  <si>
    <t>Asa Branca</t>
  </si>
  <si>
    <t>Copeiro</t>
  </si>
  <si>
    <t>CT nº 07/2020 - Senado</t>
  </si>
  <si>
    <t>CT nº 28/2020 - TST</t>
  </si>
  <si>
    <t>CT n° 66/2020 - STJ</t>
  </si>
  <si>
    <t>CT nº 37/2022 - CNJ</t>
  </si>
  <si>
    <t>CT nº 110/2022 - TSE*</t>
  </si>
  <si>
    <t>CCT2024</t>
  </si>
  <si>
    <t>5134-25</t>
  </si>
  <si>
    <t>Obs.:</t>
  </si>
  <si>
    <t>Postos com piso salarial mínimo fixados</t>
  </si>
  <si>
    <t>Pesquisa salarial  - Supervisor, Garçom e Copeiro</t>
  </si>
  <si>
    <t>Haverá exigência de reposição do profissional ausente (módulo 4)</t>
  </si>
  <si>
    <t>Exigência de uniforme</t>
  </si>
  <si>
    <t>SIM</t>
  </si>
  <si>
    <t>Quantidade de posto(s)</t>
  </si>
  <si>
    <t>1.3</t>
  </si>
  <si>
    <t>CIDADE OCIDENTAL-P.NÁPOLIS-ARAGUARI - S.GRAFICO-W3 NORTE</t>
  </si>
  <si>
    <t>8087E</t>
  </si>
  <si>
    <t>CIDADE OCIDENTAL - W3 NORTE / VIA PARKSHOPPING - SIG - TORRE DE TV</t>
  </si>
  <si>
    <t>8085E</t>
  </si>
  <si>
    <t>JARDIM ABC - CRUZEIRO / VIA PONTE JK - ESPLANADA - SIG</t>
  </si>
  <si>
    <t>8370.1</t>
  </si>
  <si>
    <t>CIDADE OCIDENTAL - W3 SUL/NORTE / VIA PARQUE NAPOLIS - JARDIM ABC- GILBERTO SALOMÃO</t>
  </si>
  <si>
    <t>8076.2</t>
  </si>
  <si>
    <t>JARDIM ABC - W3 NORTE / VIA PONTE JK - ESPLANADA</t>
  </si>
  <si>
    <t>8074.3</t>
  </si>
  <si>
    <t>QUADRA 19(CIDADE OCIDENTAL) - W3 NORTE / JD. ABC - PONTE JK - ESPLANADA</t>
  </si>
  <si>
    <t>8074.2</t>
  </si>
  <si>
    <t>BOM BOSCO(CIDADE OCIDENTAL) - W3 NORTE / VIA JD. ABC - PONTE JK - ESPLANADA</t>
  </si>
  <si>
    <t>8074.1</t>
  </si>
  <si>
    <t>CIDADE OCIDENTAL - W3 SUL E NORTE / VIA AEROPORTO</t>
  </si>
  <si>
    <t>8071.2</t>
  </si>
  <si>
    <t>CIDADE OCIDENTAL - W3 SUL / VIA BALÃO DO AEROPORTO</t>
  </si>
  <si>
    <t>8071.1</t>
  </si>
  <si>
    <t>CIDADE OCIDENTAL-JARDIM ABC - VILLE DE MONTAGNE / VIA ESAF - JARDIM SOLAR</t>
  </si>
  <si>
    <t>8028.3</t>
  </si>
  <si>
    <t>BALÃO FRIBURGO-JARDIM ABC - VILLE DE MONTAGNE / VIA ESAF - JARDIM SOLAR</t>
  </si>
  <si>
    <t>8028.2</t>
  </si>
  <si>
    <t>JARDIM ABC - VILLE DE MONTAGNE / VIA ESAF - JARDIM SOLAR</t>
  </si>
  <si>
    <t>8028.1</t>
  </si>
  <si>
    <t>PQ.FRIBURGO - ROD. PLANO PILOTO / VIA C.SAIA VELHA - PARKSHOPPING</t>
  </si>
  <si>
    <t>8027</t>
  </si>
  <si>
    <t>JARDIM ABC - ROD. PLANO PILOTO / VIA PONTE JK</t>
  </si>
  <si>
    <t>8015.1</t>
  </si>
  <si>
    <t>CIDADE OCIDENTAL - JARDIM ABC - W3 SUL E NORTE / VIA QI-15 - AEROPORTO - NOROESTE</t>
  </si>
  <si>
    <t>8004.1</t>
  </si>
  <si>
    <t>CIDADE OCIDENTAL - JARDIM ABC - ROD. PLANO PILOTO / VIA L2SUL - ESPLANADA</t>
  </si>
  <si>
    <t>8003.1</t>
  </si>
  <si>
    <t>JARDIM ABC - ROD. PLANO PILOTO / VIA GILBERTO SALOMÃO - SQ 19</t>
  </si>
  <si>
    <t>8002.3</t>
  </si>
  <si>
    <t xml:space="preserve">B. AEROPORTO - JARDIM ABC / VIA GILBERTO SALOMÃO - CIDADE </t>
  </si>
  <si>
    <t>8002.2</t>
  </si>
  <si>
    <t>JARDIM ABC - ROD. PLANO PILOTO / VIA GILBERTO SALOMÃO</t>
  </si>
  <si>
    <t>8002.1</t>
  </si>
  <si>
    <t>ROD.PLANALTINA-GO (VIA FEIRA) EIXO W NORTE E SUL</t>
  </si>
  <si>
    <t>1073</t>
  </si>
  <si>
    <t>PLANALTINA – GO MULTIRÃO/ ROD. PLANO PILOTO (VIA EIXO NORTE)</t>
  </si>
  <si>
    <t>1059</t>
  </si>
  <si>
    <t>ROD. PLANALTINA – GO/ ROD. PLANO PILOTO</t>
  </si>
  <si>
    <t>1003</t>
  </si>
  <si>
    <t>Atualizado em 29/08/2024 - Serviços Semiurbanos Interestaduais</t>
  </si>
  <si>
    <t>Valor Unitário Estimado</t>
  </si>
  <si>
    <t>Total Anual</t>
  </si>
  <si>
    <t>DESCRIÇÃO DOS UNIFORMES DO COPEIRO</t>
  </si>
  <si>
    <t>Valor Mensal a ser destinado à Conta Vinculada da Empresa (Supervisor+Garçom+Copeiro)</t>
  </si>
  <si>
    <t>A equipe de serviço, prevista no Anexo II do presente edital, já se encontra adequadamente dimensionada para as necessidades de realização dos serviços contínuos de copeiragem, uma vez que, para a definição do dimensionamento do tamanho da equipe especializada, foram consideradas: as especificações; as características técnicas reais dos serviços a serem executados; as experiências; e os parâmetros aferidos e resultantes das contratações anteriores desta Corte de Contas. Além disso, para fins de manutenção dos princípios da isonomia e do julgamento objetivo do certame, é expressamente proibida a alteração do quantitativo de postos previstos neste Termo de Referência e demais anexos.</t>
  </si>
  <si>
    <t>Os serviços referentes a presente contratação são feitos mediante a cessão efetiva de mão de obra dos postos dos serviços de Supervisor, Garçom e Copeiro. Frise-se que, nos termos do art. 17, inciso XII da Lei Complementar nº 123/2006, essas atividades não permitem o recolhimento de impostos na forma do Simples Nacional. Dessa forma, caso a licitante seja optante pelo regime do Simples Nacional, essa deverá elaborar suas planilhas considerando outro regime de tributação, e, em caso de efetiva contratação, desenquadra-se, conforme previsto no item 9 do Anexo I deste Edital.</t>
  </si>
  <si>
    <t>RESUMO DOS PREÇOS DOS SERVIÇOS - SERVIÇO DE COPEIRAGEM</t>
  </si>
  <si>
    <t>RESUMO DOS PREÇOS DOS SERVIÇOS - COPEIRAGEM</t>
  </si>
  <si>
    <t>Cinto</t>
  </si>
  <si>
    <t>Avental</t>
  </si>
  <si>
    <t>Pano de prato de algodão - Descobrir espessura</t>
  </si>
  <si>
    <t>Bule para café inox</t>
  </si>
  <si>
    <t>Bule para chá inox</t>
  </si>
  <si>
    <t>Adoçante Diet Sucralose (frasco 100 ml)</t>
  </si>
  <si>
    <t>DESCRIÇÃO DOS UNIFORMES DO COPEIRA</t>
  </si>
  <si>
    <t>Feminino</t>
  </si>
  <si>
    <t>Cinto de couro, na cor preta, modelo social, regulável, com fivela 
cromada discreta, para uso masculino</t>
  </si>
  <si>
    <t>Luva</t>
  </si>
  <si>
    <t>confeccionada em tecido algodão com elastano, na cor branca.</t>
  </si>
  <si>
    <t>Touca capilar tipo rede</t>
  </si>
  <si>
    <t>Confeccionada em tecido lavável, na cor branca, 
com acabamento em elástico forrado, modelo unissex.</t>
  </si>
  <si>
    <t>Fonte TST</t>
  </si>
  <si>
    <t>Blazer</t>
  </si>
  <si>
    <t>Touca capilar do tipo rede</t>
  </si>
  <si>
    <t>confeccionada em tecido lavável, na cor branca, com acabamento em elástico forrado, modelo unissex.</t>
  </si>
  <si>
    <t>DESCRIÇÃO DOS UNIFORMES DO GARÇONETE</t>
  </si>
  <si>
    <t>Calça Social</t>
  </si>
  <si>
    <t>Laço</t>
  </si>
  <si>
    <t>laço em cetim com 
prendedor de cabelo em rede, na cor preta para uso feminino.</t>
  </si>
  <si>
    <t>¾ em tecido liso, 84% poliamida e 16% elastano, na cor preta, tamanho condizente com o manequim para uso feminino.</t>
  </si>
  <si>
    <t>ortopédico tipo social, na cor preta, 100% em couro, bico arredondado, solado antiderrapante de PU com absorção de impacto nas articulações ou borracha anti-stress, 
forro em couro para absorção natural da transpiração, palmilha acolchoada com memória permanente e que não se deforma, anti-odor.</t>
  </si>
  <si>
    <t>gravata para hotel, tipo laço, com fecho auto-ajustável, na cor preta, para uso feminino.</t>
  </si>
  <si>
    <t xml:space="preserve">Confeccionado em tecido Gabardini ou Tiwei,de boa qualidade, na cor preta e com ziper. </t>
  </si>
  <si>
    <t>Na cor preta, em tecido tipo Gabardini ou tiwei, forrado internamente, inclusive na manga, de boa qualidade, emblema da empresa bordado no lado superior esquerdo, com 02 bolsos inferiores, com gola estrelada preta em cetim bucal, acinturada, manga longa para uso feminino</t>
  </si>
  <si>
    <t>comprida,confeccionada em tecido 
Gabardini ou Tiwei de primeira qualidade, na cor preta, sem presilhas (feminino).</t>
  </si>
  <si>
    <t>Na cor preta, em tecido tipo gabardini ou tiwei, forrado internamente, inclusive na manga, de boa qualidade, emblema da empresa bordado no lado superior esquerdo, com 02 bolsos inferiores, com gola estrelada preta em cetim bucal.</t>
  </si>
  <si>
    <t>comprida, masculina, confeccionada em tecido 
gabardini ou tiwei de primeira qualidade, na cor preta, com presilhas para 
cinto</t>
  </si>
  <si>
    <t>confeccionado em tecido gabardini ou Tiwei de primeira qualidade, na cor preta, manga longa, com gola padre e fechamento por botões, acinturado.</t>
  </si>
  <si>
    <t xml:space="preserve">Confeccionado em tecido Gabardini ou Tiwei,de primeira qualidade, na cor preta e com ziper. </t>
  </si>
  <si>
    <t>meia ¾ em tecido liso, 84% poliamida e 16% elastano, na cor preta, tamanho condizente com o manequim, para uso feminino.</t>
  </si>
  <si>
    <t xml:space="preserve">ortopédico tipo social, na cor preta, 100% em couro, bico arredondado, solado antiderrapante de PU com absorção de impacto nas articulações ou borracha anti-stress, forro em couro para absorção natural da transpiração, palmilha acolchoada com memória 
permanente e que não se deforma, anti-odor. </t>
  </si>
  <si>
    <t>confeccionada em tecido de Gabardini ou Tiwei, na cor branca, manga curta, gola padre, acinturada</t>
  </si>
  <si>
    <t>confeccionado em tecido Gabardini ou  tiwei de primeira qualidade, na cor preta, manga longa, com gola padre e fechamento por botões</t>
  </si>
  <si>
    <t xml:space="preserve">ortopédico tipo social, na cor preta, 100% em 
couro, com/sem cadarço, solado antiderrapante de PU com bolha de 
ar/gel para absorção de impacto nas articulações ou borracha anti_x0002_stress, forro em couro para absorção natural da transpiração, palmilha 
acolchoada com memória permanente e que não se deforma, anti-odor. 
</t>
  </si>
  <si>
    <t>em tecido liso, 100% poliamida, na cor preta, tamanho condizente com o manequim, para uso masculino</t>
  </si>
  <si>
    <t>Confeccionado em tecido gabardini ou tiwei, na altura do joelho, com regulagem no pescoço e na cintura, na cor preta.</t>
  </si>
  <si>
    <t>confeccionada em tecido de Gabardini ou tiwei,na cor branca, manga curta, gola padre</t>
  </si>
  <si>
    <t>Estilo social em tecido gabartini oui tiwei, na cor branca, com botões nos punhos, com peito e gola em Piquet.</t>
  </si>
  <si>
    <t>Estilo social em tecido gabardini ou tiwei, na cor branca, com botões nos punhos, com peito e gola em Piquet.</t>
  </si>
  <si>
    <t>Na cor preta, em tecido tipo gabardini ou tiwei, de boa qualidade, forrado internamente, inclusive na manga, com emblema da empresa bordado no lado superior esquerdo, com 02 bolsos inferiores.</t>
  </si>
  <si>
    <t xml:space="preserve">Tipo esporte fino, em tecido gabardini ou tiwei com ziper, na cor preta e, no caso de saia na altura do joelho. </t>
  </si>
  <si>
    <t>LJL</t>
  </si>
  <si>
    <t>Conceito</t>
  </si>
  <si>
    <t>Artveste</t>
  </si>
  <si>
    <t xml:space="preserve">Baziliense </t>
  </si>
  <si>
    <t>Na cor preta, em tecido tipo Gabardini ou tiwei, forrado internamente, inclusive na manga, de boa qualidade, emblema da empresa bordado no lado superior esquerdo, com 02 bolsos inferiores.</t>
  </si>
  <si>
    <t>Preço Unitário</t>
  </si>
  <si>
    <t>Preço Total</t>
  </si>
  <si>
    <t>Peça nº  04</t>
  </si>
  <si>
    <t>Peça</t>
  </si>
  <si>
    <t>Peça nº 07</t>
  </si>
  <si>
    <t>Peça nº 6</t>
  </si>
  <si>
    <t>Peça nº 8</t>
  </si>
  <si>
    <t>Consulta site ANTT - Trecho de Águas Lindas (GO) a Brasília (DF) (http://www.antt.gov.br/passageiros/Semiurbano.html)</t>
  </si>
  <si>
    <t>Peça nº 5</t>
  </si>
  <si>
    <t>Pisos Salariais Mínimos Fixados</t>
  </si>
  <si>
    <t>Planilha de Custo e Formação de Preços  - Posto de Serviço com dedicação exclusiva de mão de obra</t>
  </si>
  <si>
    <r>
      <t>SENAI</t>
    </r>
    <r>
      <rPr>
        <sz val="20"/>
        <color theme="1"/>
        <rFont val="Arial Narrow"/>
        <family val="2"/>
      </rPr>
      <t xml:space="preserve"> (Decreto Lei nº 4.048/42) ou </t>
    </r>
    <r>
      <rPr>
        <b/>
        <sz val="20"/>
        <color theme="1"/>
        <rFont val="Arial Narrow"/>
        <family val="2"/>
      </rPr>
      <t>SENAC</t>
    </r>
    <r>
      <rPr>
        <sz val="20"/>
        <color theme="1"/>
        <rFont val="Arial Narrow"/>
        <family val="2"/>
      </rPr>
      <t xml:space="preserve"> (Decreto Lei nº 8.621/46) ou </t>
    </r>
    <r>
      <rPr>
        <b/>
        <sz val="20"/>
        <color theme="1"/>
        <rFont val="Arial Narrow"/>
        <family val="2"/>
      </rPr>
      <t>SENAT</t>
    </r>
    <r>
      <rPr>
        <sz val="20"/>
        <color theme="1"/>
        <rFont val="Arial Narrow"/>
        <family val="2"/>
      </rPr>
      <t xml:space="preserve"> (art. 7º da Lei nº 8.706/93)</t>
    </r>
  </si>
  <si>
    <r>
      <t xml:space="preserve">Incid. do submódulo 2.2 </t>
    </r>
    <r>
      <rPr>
        <b/>
        <sz val="20"/>
        <rFont val="Arial Narrow"/>
        <family val="2"/>
      </rPr>
      <t>sem FGTS</t>
    </r>
    <r>
      <rPr>
        <sz val="20"/>
        <rFont val="Arial Narrow"/>
        <family val="2"/>
      </rPr>
      <t xml:space="preserve"> sobre o reflexo do aviso prévio indenizado no 13º</t>
    </r>
  </si>
  <si>
    <t>As licitantes não poderão cotar sálario inferior ao constante do Módulo 1 da presente planilha para o posto de serviço a ser contratado.</t>
  </si>
  <si>
    <t>Os itens, constantes da planilha de materiais de consumo sob demanda para os serviços de copa, serão pagos pelo Contratante de acordo com os itens efetivamente demandados no mês. Caso algum(ns) do(s) item(ns) previsto(s) na presente planilha apresente(m) quantidade(s) fracionária(s), para fins de composição do quantitativo estimado mensal a ser demandado, quando da efetiva solicitação de fornecimento de determinado item, cujo quantitativo fracionário for incompatível com a essência do objeto, a respectiva quantidade será ajustada no pedido para contemplar unidade(s) inteira(s).</t>
  </si>
  <si>
    <r>
      <rPr>
        <u/>
        <sz val="14"/>
        <color rgb="FF000000"/>
        <rFont val="Arial Narrow"/>
        <family val="2"/>
      </rPr>
      <t>Os quantitativos estimados mensais constantes da tabela cima deverão ser obrigatoriamente cotados pela licitante em sua proposta</t>
    </r>
    <r>
      <rPr>
        <sz val="14"/>
        <color rgb="FF000000"/>
        <rFont val="Arial Narrow"/>
        <family val="2"/>
      </rPr>
      <t xml:space="preserve">, a  fim de assegurar a manutenção dos princípios da isonomia e do julgamento objetivo do certame, </t>
    </r>
    <r>
      <rPr>
        <b/>
        <sz val="14"/>
        <color rgb="FF000000"/>
        <rFont val="Arial Narrow"/>
        <family val="2"/>
      </rPr>
      <t>sendo expressamente proibido à alteração das quantidades de materiais de consumo sob demanda para os serviços de  copa previstas nesta Planilha</t>
    </r>
    <r>
      <rPr>
        <sz val="14"/>
        <color rgb="FF000000"/>
        <rFont val="Arial Narrow"/>
        <family val="2"/>
      </rPr>
      <t>.</t>
    </r>
  </si>
  <si>
    <r>
      <t xml:space="preserve">A(s) eventual(ais) descrição(ões) de marca(s) de produto(s) destina(m)-se a referenciar aspectos de qualidade e produtividade já aprovados pelo setor responsável pela fiscalização do TCDF, a partir de testes e aprovação de várias marcas utilizadas na execução dos serviços. Entretanto, cabe destacar que </t>
    </r>
    <r>
      <rPr>
        <b/>
        <sz val="14"/>
        <color rgb="FF000000"/>
        <rFont val="Arial Narrow"/>
        <family val="2"/>
      </rPr>
      <t>será(ão) aceita(s) a cotação de produtos similares</t>
    </r>
    <r>
      <rPr>
        <sz val="14"/>
        <color rgb="FF000000"/>
        <rFont val="Arial Narrow"/>
        <family val="2"/>
      </rPr>
      <t xml:space="preserve">. </t>
    </r>
    <r>
      <rPr>
        <b/>
        <sz val="14"/>
        <color rgb="FF000000"/>
        <rFont val="Arial Narrow"/>
        <family val="2"/>
      </rPr>
      <t>Entende-se como similar o produto de outra marca que possua qualidades iguais ou superiores aos referenciados</t>
    </r>
    <r>
      <rPr>
        <sz val="14"/>
        <color rgb="FF000000"/>
        <rFont val="Arial Narrow"/>
        <family val="2"/>
      </rPr>
      <t>. S</t>
    </r>
    <r>
      <rPr>
        <u/>
        <sz val="14"/>
        <color rgb="FF000000"/>
        <rFont val="Arial Narrow"/>
        <family val="2"/>
      </rPr>
      <t>ua adoção, contudo, deverá ser precedida de testes comprobatórios de adequação pelo setor responsável pela fiscalização do contrato administrativo</t>
    </r>
    <r>
      <rPr>
        <sz val="14"/>
        <color rgb="FF000000"/>
        <rFont val="Arial Narrow"/>
        <family val="2"/>
      </rPr>
      <t>.</t>
    </r>
  </si>
  <si>
    <r>
      <rPr>
        <b/>
        <sz val="14"/>
        <color rgb="FF000000"/>
        <rFont val="Arial Narrow"/>
        <family val="2"/>
      </rPr>
      <t>Os valores unitários dos materiais de concusmo sob demanda para os serviços de copa estão SEM BDI</t>
    </r>
    <r>
      <rPr>
        <sz val="14"/>
        <color rgb="FF000000"/>
        <rFont val="Arial Narrow"/>
        <family val="2"/>
      </rPr>
      <t xml:space="preserve"> ( Custos Indiretos, Lucro e Tributos - Módulo 6), a apropiação desse é feito na planilha Resumo dos Preços dos Serviços. Para fins de liquidação e pagamento, ao valor unitário do material efetivamente demandado, constante da proposta da Contratada, será acrescido o respectivo BDI. </t>
    </r>
  </si>
  <si>
    <r>
      <rPr>
        <b/>
        <u/>
        <sz val="14"/>
        <color rgb="FF000000"/>
        <rFont val="Arial Narrow"/>
        <family val="2"/>
      </rPr>
      <t>Serão desclassificadas as propostas que apresentarem preços unitários superiores aos respectivos preços unitários estimados para a contratação</t>
    </r>
    <r>
      <rPr>
        <sz val="14"/>
        <color rgb="FF000000"/>
        <rFont val="Arial Narrow"/>
        <family val="2"/>
      </rPr>
      <t>,  constante das Planilhas de Materiais de consumo sob demanda, observadas as hipóteses  de retificação  de que trata o o Edital.</t>
    </r>
  </si>
  <si>
    <r>
      <t xml:space="preserve">Biscoito Cream Craker (pacote 200g)  </t>
    </r>
    <r>
      <rPr>
        <b/>
        <sz val="12"/>
        <rFont val="Arial Narrow"/>
        <family val="2"/>
      </rPr>
      <t>Marca de referência Piraquê ou outro de qualidade igual ou superior</t>
    </r>
  </si>
  <si>
    <r>
      <t xml:space="preserve">Biscoito de aveia e mel (pacote 170g) </t>
    </r>
    <r>
      <rPr>
        <b/>
        <sz val="12"/>
        <rFont val="Arial Narrow"/>
        <family val="2"/>
      </rPr>
      <t>Marca de referência Nestle ou outro de qualidade igual ou superior</t>
    </r>
  </si>
  <si>
    <r>
      <t xml:space="preserve">Biscoito rosquinha de coco (pacote 700g) </t>
    </r>
    <r>
      <rPr>
        <b/>
        <sz val="12"/>
        <rFont val="Arial Narrow"/>
        <family val="2"/>
      </rPr>
      <t>Marca de referência Mabel ou outro de qualidade igual ou superior</t>
    </r>
  </si>
  <si>
    <r>
      <t xml:space="preserve">Biscoito salgado (pacote 200g) </t>
    </r>
    <r>
      <rPr>
        <b/>
        <sz val="12"/>
        <rFont val="Arial Narrow"/>
        <family val="2"/>
      </rPr>
      <t>Marca de referência Piraquê ou outro de qualidade igual ou superior</t>
    </r>
  </si>
  <si>
    <r>
      <t>Café moído (500 g) -</t>
    </r>
    <r>
      <rPr>
        <b/>
        <sz val="12"/>
        <rFont val="Arial Narrow"/>
        <family val="2"/>
      </rPr>
      <t xml:space="preserve"> Café torrado e moído Gourmet - 100% arábico, torra média, com selo Abic, padrão de qualidade global entre 7,3 e 10 pontos (gourmet) </t>
    </r>
    <r>
      <rPr>
        <sz val="12"/>
        <rFont val="Arial Narrow"/>
        <family val="2"/>
      </rPr>
      <t xml:space="preserve">  </t>
    </r>
    <r>
      <rPr>
        <b/>
        <sz val="12"/>
        <rFont val="Arial Narrow"/>
        <family val="2"/>
      </rPr>
      <t>Marca de referência 3 corações ou outro de qualidade igual ou superior</t>
    </r>
  </si>
  <si>
    <r>
      <t xml:space="preserve">Chá aromas diversos (caixa com 10 sachês) </t>
    </r>
    <r>
      <rPr>
        <b/>
        <sz val="12"/>
        <rFont val="Arial Narrow"/>
        <family val="2"/>
      </rPr>
      <t>marca de referência Leão ou outro de qualidade igual ou superior</t>
    </r>
  </si>
  <si>
    <r>
      <t xml:space="preserve">Copo descartável p/ água 200ml (pct 100) - </t>
    </r>
    <r>
      <rPr>
        <b/>
        <sz val="12"/>
        <rFont val="Arial Narrow"/>
        <family val="2"/>
      </rPr>
      <t>biodegradável</t>
    </r>
  </si>
  <si>
    <r>
      <t>Copo descartável p/ café 50ml (pct 100) -</t>
    </r>
    <r>
      <rPr>
        <b/>
        <sz val="12"/>
        <rFont val="Arial Narrow"/>
        <family val="2"/>
      </rPr>
      <t xml:space="preserve"> biodegradável</t>
    </r>
  </si>
  <si>
    <r>
      <t xml:space="preserve">Detergente Líquido (frasco 500ml) </t>
    </r>
    <r>
      <rPr>
        <b/>
        <sz val="12"/>
        <rFont val="Arial Narrow"/>
        <family val="2"/>
      </rPr>
      <t>marca de referência Ypê ou  outro de qualidade igual ou superior</t>
    </r>
  </si>
  <si>
    <r>
      <t xml:space="preserve">Esponja de Aço (pacote com 8 unidades) </t>
    </r>
    <r>
      <rPr>
        <b/>
        <sz val="12"/>
        <rFont val="Arial Narrow"/>
        <family val="2"/>
      </rPr>
      <t>marca de referência Bombril ou  outro de qualidade igual ou superior</t>
    </r>
  </si>
  <si>
    <r>
      <t xml:space="preserve">Esponja de Nylon dupla face </t>
    </r>
    <r>
      <rPr>
        <b/>
        <sz val="12"/>
        <rFont val="Arial Narrow"/>
        <family val="2"/>
      </rPr>
      <t>marca de referência Scotch Brite ou  outro de qualidade igual ou superior</t>
    </r>
  </si>
  <si>
    <r>
      <t xml:space="preserve">Flanela de Limpeza </t>
    </r>
    <r>
      <rPr>
        <b/>
        <sz val="12"/>
        <rFont val="Arial Narrow"/>
        <family val="2"/>
      </rPr>
      <t>60x40 cm</t>
    </r>
    <r>
      <rPr>
        <sz val="12"/>
        <rFont val="Arial Narrow"/>
        <family val="2"/>
      </rPr>
      <t xml:space="preserve"> </t>
    </r>
  </si>
  <si>
    <r>
      <t xml:space="preserve">Leite em pó integral (lata 380g) </t>
    </r>
    <r>
      <rPr>
        <b/>
        <sz val="12"/>
        <rFont val="Arial Narrow"/>
        <family val="2"/>
      </rPr>
      <t>marca de referência Ninho ou  outro de qualidade igual ou superior</t>
    </r>
  </si>
  <si>
    <r>
      <t xml:space="preserve">Pão de Queijo congelado (pct de 1kg) </t>
    </r>
    <r>
      <rPr>
        <b/>
        <sz val="12"/>
        <rFont val="Arial Narrow"/>
        <family val="2"/>
      </rPr>
      <t>marca de referência Forno de minas ou  outro de qualidade igual ou superior</t>
    </r>
  </si>
  <si>
    <r>
      <t xml:space="preserve">Refrigerante sabor Cola (garrafa 2 litros) </t>
    </r>
    <r>
      <rPr>
        <b/>
        <sz val="12"/>
        <rFont val="Arial Narrow"/>
        <family val="2"/>
      </rPr>
      <t>marca de referência Coca Cola ou  outro de qualidade igual ou superior</t>
    </r>
  </si>
  <si>
    <r>
      <t xml:space="preserve">Refrigerante sabor Cola (lata 350 ml) </t>
    </r>
    <r>
      <rPr>
        <b/>
        <sz val="12"/>
        <rFont val="Arial Narrow"/>
        <family val="2"/>
      </rPr>
      <t>marca de referência Coca Cola ou  outro de qualidade igual ou superior</t>
    </r>
  </si>
  <si>
    <r>
      <t xml:space="preserve">Refrigerante sabor Guaraná (garrafa 2 litros) </t>
    </r>
    <r>
      <rPr>
        <b/>
        <sz val="12"/>
        <rFont val="Arial Narrow"/>
        <family val="2"/>
      </rPr>
      <t>marca de referência Guaraná Antartica ou  outro de qualidade igual ou superior</t>
    </r>
  </si>
  <si>
    <r>
      <t xml:space="preserve">Refrigerante sabor Guaraná (lata 350 ml) </t>
    </r>
    <r>
      <rPr>
        <b/>
        <sz val="12"/>
        <rFont val="Arial Narrow"/>
        <family val="2"/>
      </rPr>
      <t>marca de referência Guaraná Antartica ou  outro de qualidade igual ou superior</t>
    </r>
  </si>
  <si>
    <r>
      <t xml:space="preserve">Sabão em barra 200g (pct com 5) </t>
    </r>
    <r>
      <rPr>
        <b/>
        <sz val="12"/>
        <rFont val="Arial Narrow"/>
        <family val="2"/>
      </rPr>
      <t>marca de referência Ypê ou  outro de qualidade igual ou superior</t>
    </r>
  </si>
  <si>
    <r>
      <t xml:space="preserve">Sabão em pó (pct 500 g) </t>
    </r>
    <r>
      <rPr>
        <b/>
        <sz val="12"/>
        <rFont val="Arial Narrow"/>
        <family val="2"/>
      </rPr>
      <t>marca de referência Omo ou  outro de qualidade igual ou superior</t>
    </r>
  </si>
  <si>
    <r>
      <t xml:space="preserve">Saponáceo (frasco 300g) </t>
    </r>
    <r>
      <rPr>
        <b/>
        <sz val="12"/>
        <rFont val="Arial Narrow"/>
        <family val="2"/>
      </rPr>
      <t>marca de referência Bombril ou  outro de qualidade igual ou superior</t>
    </r>
  </si>
  <si>
    <r>
      <t xml:space="preserve">Suco Natural (caixa 1 l) </t>
    </r>
    <r>
      <rPr>
        <b/>
        <sz val="12"/>
        <rFont val="Arial Narrow"/>
        <family val="2"/>
      </rPr>
      <t>marca de referência del Valle ou  outro de qualidade igual ou superior</t>
    </r>
  </si>
  <si>
    <t>Com fundamento no art. 16 da Lei nº 9.779/1999, art. 2º do Decreto nº 6.022/2007 e art. 4º IN RFB nº 1252/2012, as empresas optantes pelo Lucro Presumido ou Lucro Real deverão apresentar os recibos de Escrituração Fiscal Digital da Contribuição para o PIS/PASEP e para o Financiamento da Seguridade Social (COFINS) – EFD – Contribuições, relativos aos 12 (doze) meses correspondentes ao Balanço Patrimonial e demonstrações contábeis, de que trata o Capítulo XI do Edital, sendo que a receita bruta calculada a partir dos recibos, observado o disposto no art. 3º da Lei nº 9.718/1998 e no art. 12 do Decreto Lei nº 1.598/1977 , deverá guardar compatibilidade com as demonstrações apresentadas.</t>
  </si>
  <si>
    <t>Serviços Contínuos de Copeiragem</t>
  </si>
  <si>
    <t>No que tange à alíquota referente ao ISS favor observar ainda os seguintes dispositivos do Decreto Distrital nº 25.508/2005:  Art. 38, inciso II e Anexo I – código 17.05.</t>
  </si>
  <si>
    <t>No custo direto mensal ofertado para o fornecimento dos uniformes deverá estar contemplado ainda a obrigação de a CONTRATADA fornecer aos funcionários, gratuitamente, Equipamento de Proteção Individual (EPI) adequado ao risco da atividade exercida e em perfeito estado de conservação e funcionamento, nos termos da NR-06 (ABNT).</t>
  </si>
  <si>
    <t>P0 = (A + B + C + D)</t>
  </si>
  <si>
    <t>Valores unitários de auxílio alimentação calculados, conforme Cláusula Nona da Convenção Coletiva de Trabalho 2024, celebrada entre o Sindicato das empresas de asseio, conservação, trabalhos temporário e serviços terceirizáveis do DF e o Sindicato dos emp de empresas de asseio, conservação, trab temporário, prestação de serviços e sev terceirizáveis do DF (SINDISERVICOS/DF), registrada no MTE em 10/01/2024.</t>
  </si>
  <si>
    <t>(  *  )</t>
  </si>
  <si>
    <t>Menor</t>
  </si>
  <si>
    <t>Adotado para a contratação - TCDF</t>
  </si>
  <si>
    <t>Valores adotados de forma a reduzir a assimetria salarial entre os postos de copeiras e garçons</t>
  </si>
  <si>
    <t>Dif (CCT24)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</si>
</sst>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quot;R$&quot;\ * #,##0.00_-;\-&quot;R$&quot;\ * #,##0.00_-;_-&quot;R$&quot;\ * &quot;-&quot;??_-;_-@_-"/>
    <numFmt numFmtId="43" formatCode="_-* #,##0.00_-;\-* #,##0.00_-;_-* &quot;-&quot;??_-;_-@_-"/>
    <numFmt numFmtId="164" formatCode="&quot;R$&quot;#,##0.00;[Red]\-&quot;R$&quot;#,##0.00"/>
    <numFmt numFmtId="165" formatCode="_-&quot;R$&quot;* #,##0.00_-;\-&quot;R$&quot;* #,##0.00_-;_-&quot;R$&quot;* &quot;-&quot;??_-;_-@_-"/>
    <numFmt numFmtId="166" formatCode="_(* #,##0.00_);_(* \(#,##0.00\);_(* &quot;-&quot;??_);_(@_)"/>
    <numFmt numFmtId="167" formatCode="_(&quot;R$&quot;* #,##0.00_);_(&quot;R$&quot;* \(#,##0.00\);_(&quot;R$&quot;* &quot;-&quot;??_);_(@_)"/>
    <numFmt numFmtId="168" formatCode="_(&quot;R$ &quot;* #,##0.00_);_(&quot;R$ &quot;* \(#,##0.00\);_(&quot;R$ &quot;* &quot;-&quot;??_);_(@_)"/>
    <numFmt numFmtId="169" formatCode="dd/mm/yy;@"/>
    <numFmt numFmtId="170" formatCode="[$-416]mmmm\-yy;@"/>
    <numFmt numFmtId="171" formatCode="0.0000000%"/>
    <numFmt numFmtId="172" formatCode="&quot;R$&quot;\ #,##0.00"/>
    <numFmt numFmtId="173" formatCode="0.0000%"/>
    <numFmt numFmtId="174" formatCode="0.000%"/>
    <numFmt numFmtId="175" formatCode="0.0000"/>
  </numFmts>
  <fonts count="132">
    <font>
      <sz val="10"/>
      <name val="Arial"/>
      <charset val="134"/>
    </font>
    <font>
      <sz val="11"/>
      <color theme="1"/>
      <name val="Calibri"/>
      <family val="2"/>
      <scheme val="minor"/>
    </font>
    <font>
      <sz val="11"/>
      <color theme="1"/>
      <name val="Calibri"/>
      <family val="2"/>
      <scheme val="minor"/>
    </font>
    <font>
      <sz val="11"/>
      <color theme="1"/>
      <name val="Calibri"/>
      <family val="2"/>
      <scheme val="minor"/>
    </font>
    <font>
      <sz val="14"/>
      <color theme="1"/>
      <name val="Arial Narrow"/>
      <family val="2"/>
    </font>
    <font>
      <b/>
      <sz val="14"/>
      <color theme="1"/>
      <name val="Arial Narrow"/>
      <family val="2"/>
    </font>
    <font>
      <b/>
      <sz val="12"/>
      <color theme="1"/>
      <name val="Arial Narrow"/>
      <family val="2"/>
    </font>
    <font>
      <b/>
      <i/>
      <u/>
      <sz val="14"/>
      <color theme="1"/>
      <name val="Arial Narrow"/>
      <family val="2"/>
    </font>
    <font>
      <b/>
      <sz val="14"/>
      <color rgb="FFFF0000"/>
      <name val="Arial Narrow"/>
      <family val="2"/>
    </font>
    <font>
      <b/>
      <sz val="14"/>
      <name val="Arial Narrow"/>
      <family val="2"/>
    </font>
    <font>
      <b/>
      <sz val="16"/>
      <name val="Arial Narrow"/>
      <family val="2"/>
    </font>
    <font>
      <b/>
      <sz val="10"/>
      <name val="Arial Narrow"/>
      <family val="2"/>
    </font>
    <font>
      <sz val="14"/>
      <name val="Arial"/>
      <family val="2"/>
    </font>
    <font>
      <i/>
      <sz val="16"/>
      <name val="Arial Narrow"/>
      <family val="2"/>
    </font>
    <font>
      <sz val="16"/>
      <name val="Arial Narrow"/>
      <family val="2"/>
    </font>
    <font>
      <b/>
      <sz val="18"/>
      <color theme="1"/>
      <name val="Arial Narrow"/>
      <family val="2"/>
    </font>
    <font>
      <sz val="18"/>
      <color theme="1"/>
      <name val="Arial Narrow"/>
      <family val="2"/>
    </font>
    <font>
      <b/>
      <sz val="14"/>
      <name val="Arial"/>
      <family val="2"/>
    </font>
    <font>
      <sz val="14"/>
      <color rgb="FF7030A0"/>
      <name val="Arial Narrow"/>
      <family val="2"/>
    </font>
    <font>
      <sz val="14"/>
      <name val="Arial Narrow"/>
      <family val="2"/>
    </font>
    <font>
      <sz val="14"/>
      <color theme="0"/>
      <name val="Arial Narrow"/>
      <family val="2"/>
    </font>
    <font>
      <sz val="11"/>
      <name val="Arial"/>
      <family val="2"/>
    </font>
    <font>
      <sz val="12"/>
      <name val="Arial Narrow"/>
      <family val="2"/>
    </font>
    <font>
      <b/>
      <sz val="13"/>
      <name val="Arial Narrow"/>
      <family val="2"/>
    </font>
    <font>
      <b/>
      <i/>
      <sz val="14"/>
      <name val="Arial Narrow"/>
      <family val="2"/>
    </font>
    <font>
      <b/>
      <i/>
      <sz val="12"/>
      <name val="Arial Narrow"/>
      <family val="2"/>
    </font>
    <font>
      <b/>
      <sz val="12"/>
      <name val="Arial Narrow"/>
      <family val="2"/>
    </font>
    <font>
      <b/>
      <sz val="12"/>
      <color rgb="FFFF0000"/>
      <name val="Arial Narrow"/>
      <family val="2"/>
    </font>
    <font>
      <sz val="12"/>
      <color theme="8" tint="0.79992065187536243"/>
      <name val="Arial Narrow"/>
      <family val="2"/>
    </font>
    <font>
      <sz val="10"/>
      <name val="Arial"/>
      <family val="2"/>
    </font>
    <font>
      <b/>
      <sz val="11"/>
      <color theme="1"/>
      <name val="Arial"/>
      <family val="2"/>
    </font>
    <font>
      <b/>
      <sz val="12"/>
      <color theme="1"/>
      <name val="Arial"/>
      <family val="2"/>
    </font>
    <font>
      <sz val="11"/>
      <color theme="1"/>
      <name val="Arial"/>
      <family val="2"/>
    </font>
    <font>
      <sz val="14"/>
      <color theme="1"/>
      <name val="Arial"/>
      <family val="2"/>
    </font>
    <font>
      <b/>
      <sz val="14"/>
      <color theme="1"/>
      <name val="Arial"/>
      <family val="2"/>
    </font>
    <font>
      <sz val="11"/>
      <color theme="1"/>
      <name val="Arial Unicode MS"/>
      <family val="2"/>
    </font>
    <font>
      <sz val="11"/>
      <color theme="1"/>
      <name val="Calibri"/>
      <family val="2"/>
      <scheme val="minor"/>
    </font>
    <font>
      <sz val="20"/>
      <color theme="1"/>
      <name val="Arial Narrow"/>
      <family val="2"/>
    </font>
    <font>
      <b/>
      <sz val="20"/>
      <color theme="1"/>
      <name val="Arial Narrow"/>
      <family val="2"/>
    </font>
    <font>
      <b/>
      <sz val="18"/>
      <color theme="1"/>
      <name val="Arial"/>
      <family val="2"/>
    </font>
    <font>
      <sz val="10"/>
      <color theme="1"/>
      <name val="Arial Unicode MS"/>
      <family val="2"/>
    </font>
    <font>
      <sz val="20"/>
      <color theme="1"/>
      <name val="Calibri"/>
      <family val="2"/>
      <scheme val="minor"/>
    </font>
    <font>
      <b/>
      <u/>
      <sz val="20"/>
      <color theme="1"/>
      <name val="Arial Narrow"/>
      <family val="2"/>
    </font>
    <font>
      <sz val="20"/>
      <name val="Arial Narrow"/>
      <family val="2"/>
    </font>
    <font>
      <sz val="20"/>
      <color rgb="FF7030A0"/>
      <name val="Arial Narrow"/>
      <family val="2"/>
    </font>
    <font>
      <b/>
      <sz val="19"/>
      <color theme="1"/>
      <name val="Arial Narrow"/>
      <family val="2"/>
    </font>
    <font>
      <i/>
      <u/>
      <sz val="20"/>
      <color theme="1"/>
      <name val="Arial Narrow"/>
      <family val="2"/>
    </font>
    <font>
      <i/>
      <sz val="20"/>
      <color theme="1"/>
      <name val="Arial Narrow"/>
      <family val="2"/>
    </font>
    <font>
      <i/>
      <sz val="18"/>
      <color theme="1"/>
      <name val="Arial Narrow"/>
      <family val="2"/>
    </font>
    <font>
      <sz val="20"/>
      <color rgb="FFFF0000"/>
      <name val="Arial Narrow"/>
      <family val="2"/>
    </font>
    <font>
      <b/>
      <sz val="16"/>
      <color theme="1"/>
      <name val="Arial Narrow"/>
      <family val="2"/>
    </font>
    <font>
      <b/>
      <sz val="11"/>
      <color theme="1"/>
      <name val="Calibri"/>
      <family val="2"/>
      <scheme val="minor"/>
    </font>
    <font>
      <i/>
      <sz val="20"/>
      <name val="Arial Narrow"/>
      <family val="2"/>
    </font>
    <font>
      <b/>
      <sz val="14"/>
      <color theme="1"/>
      <name val="Arial Unicode MS"/>
      <family val="2"/>
    </font>
    <font>
      <b/>
      <i/>
      <sz val="20"/>
      <color theme="1"/>
      <name val="Arial Narrow"/>
      <family val="2"/>
    </font>
    <font>
      <i/>
      <sz val="11"/>
      <color theme="1"/>
      <name val="Calibri"/>
      <family val="2"/>
      <scheme val="minor"/>
    </font>
    <font>
      <b/>
      <sz val="18"/>
      <color rgb="FF000000"/>
      <name val="Arial Narrow"/>
      <family val="2"/>
    </font>
    <font>
      <sz val="18"/>
      <color rgb="FF000000"/>
      <name val="Arial Narrow"/>
      <family val="2"/>
    </font>
    <font>
      <b/>
      <sz val="20"/>
      <name val="Arial Narrow"/>
      <family val="2"/>
    </font>
    <font>
      <sz val="18"/>
      <name val="Arial Narrow"/>
      <family val="2"/>
    </font>
    <font>
      <b/>
      <sz val="10"/>
      <name val="Arial"/>
      <family val="2"/>
    </font>
    <font>
      <sz val="12"/>
      <color theme="1"/>
      <name val="Arial Narrow"/>
      <family val="2"/>
    </font>
    <font>
      <sz val="11"/>
      <color rgb="FF000000"/>
      <name val="Calibri"/>
      <family val="2"/>
    </font>
    <font>
      <b/>
      <u/>
      <sz val="14"/>
      <name val="Arial Narrow"/>
      <family val="2"/>
    </font>
    <font>
      <sz val="13"/>
      <color rgb="FF000000"/>
      <name val="Arial Narrow"/>
      <family val="2"/>
    </font>
    <font>
      <b/>
      <sz val="14"/>
      <color rgb="FF000000"/>
      <name val="Arial Narrow"/>
      <family val="2"/>
    </font>
    <font>
      <sz val="13"/>
      <name val="Arial Narrow"/>
      <family val="2"/>
    </font>
    <font>
      <b/>
      <sz val="13"/>
      <color theme="1"/>
      <name val="Arial Narrow"/>
      <family val="2"/>
    </font>
    <font>
      <b/>
      <sz val="18"/>
      <name val="Arial Narrow"/>
      <family val="2"/>
    </font>
    <font>
      <b/>
      <i/>
      <sz val="18"/>
      <name val="Arial Narrow"/>
      <family val="2"/>
    </font>
    <font>
      <i/>
      <sz val="14"/>
      <name val="Arial Narrow"/>
      <family val="2"/>
    </font>
    <font>
      <sz val="18"/>
      <color rgb="FFFF0000"/>
      <name val="Arial Narrow"/>
      <family val="2"/>
    </font>
    <font>
      <i/>
      <sz val="14"/>
      <color rgb="FFFF0000"/>
      <name val="Arial Narrow"/>
      <family val="2"/>
    </font>
    <font>
      <sz val="8"/>
      <name val="Arial"/>
      <family val="2"/>
    </font>
    <font>
      <b/>
      <sz val="12"/>
      <color theme="7"/>
      <name val="Arial Narrow"/>
      <family val="2"/>
    </font>
    <font>
      <sz val="14"/>
      <color rgb="FFFF0000"/>
      <name val="Arial"/>
      <family val="2"/>
    </font>
    <font>
      <sz val="12"/>
      <color rgb="FF7030A0"/>
      <name val="Arial Narrow"/>
      <family val="2"/>
    </font>
    <font>
      <sz val="12"/>
      <color rgb="FFFF0000"/>
      <name val="Arial Narrow"/>
      <family val="2"/>
    </font>
    <font>
      <i/>
      <sz val="12"/>
      <name val="Arial Narrow"/>
      <family val="2"/>
    </font>
    <font>
      <b/>
      <sz val="11"/>
      <name val="Arial "/>
      <charset val="134"/>
    </font>
    <font>
      <sz val="12"/>
      <name val="Calibri"/>
      <family val="2"/>
    </font>
    <font>
      <sz val="13"/>
      <color theme="1"/>
      <name val="Arial"/>
      <family val="2"/>
    </font>
    <font>
      <sz val="13"/>
      <name val="Arial"/>
      <family val="2"/>
    </font>
    <font>
      <sz val="10"/>
      <color theme="1"/>
      <name val="Arial Narrow"/>
      <family val="2"/>
    </font>
    <font>
      <sz val="12"/>
      <color theme="1"/>
      <name val="Arial"/>
      <family val="2"/>
    </font>
    <font>
      <i/>
      <sz val="12"/>
      <name val="Aptos Narrow"/>
      <family val="2"/>
    </font>
    <font>
      <sz val="14"/>
      <color rgb="FFFF0000"/>
      <name val="Arial Narrow"/>
      <family val="2"/>
    </font>
    <font>
      <b/>
      <sz val="13"/>
      <name val="Arial"/>
      <family val="2"/>
    </font>
    <font>
      <sz val="12"/>
      <name val="Times New Roman"/>
      <family val="1"/>
    </font>
    <font>
      <b/>
      <sz val="9"/>
      <name val="Segoe UI"/>
      <family val="2"/>
    </font>
    <font>
      <sz val="9"/>
      <name val="Segoe UI"/>
      <family val="2"/>
    </font>
    <font>
      <sz val="12"/>
      <color theme="1"/>
      <name val="Arial Narrow"/>
      <family val="2"/>
    </font>
    <font>
      <b/>
      <sz val="12"/>
      <color theme="1"/>
      <name val="Arial Narrow"/>
      <family val="2"/>
    </font>
    <font>
      <b/>
      <sz val="11"/>
      <color theme="1"/>
      <name val="Calibri"/>
      <family val="2"/>
      <scheme val="minor"/>
    </font>
    <font>
      <sz val="10"/>
      <name val="Calibri"/>
      <family val="2"/>
      <scheme val="minor"/>
    </font>
    <font>
      <sz val="11"/>
      <name val="Calibri"/>
      <family val="2"/>
      <scheme val="minor"/>
    </font>
    <font>
      <sz val="11"/>
      <color rgb="FF000000"/>
      <name val="Calibri"/>
      <family val="2"/>
      <scheme val="minor"/>
    </font>
    <font>
      <sz val="10"/>
      <color rgb="FF000000"/>
      <name val="Calibri"/>
      <family val="2"/>
      <scheme val="minor"/>
    </font>
    <font>
      <sz val="10"/>
      <color theme="1"/>
      <name val="Calibri"/>
      <family val="2"/>
      <scheme val="minor"/>
    </font>
    <font>
      <sz val="12"/>
      <color rgb="FF000000"/>
      <name val="Times New Roman"/>
      <family val="1"/>
    </font>
    <font>
      <b/>
      <sz val="10"/>
      <name val="Calibri"/>
      <family val="2"/>
      <scheme val="minor"/>
    </font>
    <font>
      <b/>
      <sz val="14"/>
      <name val="Calibri"/>
      <family val="2"/>
      <scheme val="minor"/>
    </font>
    <font>
      <b/>
      <sz val="14"/>
      <color rgb="FFFF0000"/>
      <name val="Calibri"/>
      <family val="2"/>
      <scheme val="minor"/>
    </font>
    <font>
      <b/>
      <sz val="16"/>
      <color rgb="FFFF0000"/>
      <name val="Calibri"/>
      <family val="2"/>
      <scheme val="minor"/>
    </font>
    <font>
      <sz val="14"/>
      <color theme="1"/>
      <name val="Calibri"/>
      <family val="2"/>
      <scheme val="minor"/>
    </font>
    <font>
      <b/>
      <sz val="16"/>
      <color theme="1"/>
      <name val="Calibri"/>
      <family val="2"/>
      <scheme val="minor"/>
    </font>
    <font>
      <b/>
      <sz val="10"/>
      <color theme="1"/>
      <name val="Arial Narrow"/>
      <family val="2"/>
    </font>
    <font>
      <b/>
      <u/>
      <sz val="12"/>
      <color theme="1"/>
      <name val="Arial Narrow"/>
      <family val="2"/>
    </font>
    <font>
      <sz val="14"/>
      <name val="Arial Narrow"/>
      <family val="2"/>
    </font>
    <font>
      <b/>
      <sz val="28"/>
      <name val="Arial Narrow"/>
      <family val="2"/>
    </font>
    <font>
      <b/>
      <sz val="14"/>
      <name val="Arial Narrow"/>
      <family val="2"/>
    </font>
    <font>
      <sz val="12"/>
      <name val="Arial Narrow"/>
      <family val="2"/>
    </font>
    <font>
      <sz val="11"/>
      <name val="Arial"/>
      <family val="2"/>
    </font>
    <font>
      <b/>
      <sz val="12"/>
      <name val="Arial Narrow"/>
      <family val="2"/>
    </font>
    <font>
      <b/>
      <sz val="10"/>
      <name val="Arial"/>
      <family val="2"/>
    </font>
    <font>
      <sz val="10"/>
      <name val="Arial"/>
      <family val="2"/>
    </font>
    <font>
      <b/>
      <sz val="14"/>
      <name val="Arial"/>
      <family val="2"/>
    </font>
    <font>
      <b/>
      <sz val="16"/>
      <name val="Arial"/>
      <family val="2"/>
    </font>
    <font>
      <b/>
      <sz val="14"/>
      <color rgb="FF000000"/>
      <name val="Arial Narrow"/>
      <family val="2"/>
    </font>
    <font>
      <sz val="11"/>
      <color rgb="FFFF0000"/>
      <name val="Calibri"/>
      <family val="2"/>
      <scheme val="minor"/>
    </font>
    <font>
      <sz val="9"/>
      <color indexed="81"/>
      <name val="Segoe UI"/>
      <family val="2"/>
    </font>
    <font>
      <b/>
      <sz val="9"/>
      <color indexed="81"/>
      <name val="Segoe UI"/>
      <family val="2"/>
    </font>
    <font>
      <sz val="14"/>
      <color rgb="FF0070C0"/>
      <name val="Arial Narrow"/>
      <family val="2"/>
    </font>
    <font>
      <sz val="10"/>
      <name val="Arial"/>
      <family val="2"/>
      <charset val="1"/>
    </font>
    <font>
      <b/>
      <sz val="20"/>
      <color rgb="FF000000"/>
      <name val="Arial Narrow"/>
      <family val="2"/>
      <charset val="1"/>
    </font>
    <font>
      <sz val="20"/>
      <color rgb="FF000000"/>
      <name val="Calibri"/>
      <family val="2"/>
      <charset val="1"/>
    </font>
    <font>
      <sz val="14"/>
      <name val="Arial Narrow"/>
      <family val="2"/>
      <charset val="1"/>
    </font>
    <font>
      <sz val="14"/>
      <color rgb="FF000000"/>
      <name val="Arial Narrow"/>
      <family val="2"/>
    </font>
    <font>
      <u/>
      <sz val="14"/>
      <color rgb="FF000000"/>
      <name val="Arial Narrow"/>
      <family val="2"/>
    </font>
    <font>
      <b/>
      <u/>
      <sz val="14"/>
      <color rgb="FF000000"/>
      <name val="Arial Narrow"/>
      <family val="2"/>
    </font>
    <font>
      <sz val="14"/>
      <color theme="4"/>
      <name val="Arial Narrow"/>
      <family val="2"/>
    </font>
    <font>
      <sz val="12"/>
      <name val="Aptos Narrow"/>
      <family val="2"/>
    </font>
  </fonts>
  <fills count="44">
    <fill>
      <patternFill patternType="none"/>
    </fill>
    <fill>
      <patternFill patternType="gray125"/>
    </fill>
    <fill>
      <patternFill patternType="solid">
        <fgColor theme="0" tint="-0.34998626667073579"/>
        <bgColor indexed="64"/>
      </patternFill>
    </fill>
    <fill>
      <patternFill patternType="solid">
        <fgColor theme="9" tint="0.59999389629810485"/>
        <bgColor indexed="64"/>
      </patternFill>
    </fill>
    <fill>
      <patternFill patternType="solid">
        <fgColor theme="9" tint="0.79992065187536243"/>
        <bgColor indexed="64"/>
      </patternFill>
    </fill>
    <fill>
      <patternFill patternType="solid">
        <fgColor theme="5" tint="0.79992065187536243"/>
        <bgColor indexed="64"/>
      </patternFill>
    </fill>
    <fill>
      <patternFill patternType="solid">
        <fgColor theme="7" tint="0.79992065187536243"/>
        <bgColor indexed="64"/>
      </patternFill>
    </fill>
    <fill>
      <patternFill patternType="solid">
        <fgColor theme="0" tint="-0.14993743705557422"/>
        <bgColor indexed="64"/>
      </patternFill>
    </fill>
    <fill>
      <patternFill patternType="solid">
        <fgColor theme="7"/>
        <bgColor indexed="64"/>
      </patternFill>
    </fill>
    <fill>
      <patternFill patternType="solid">
        <fgColor theme="9"/>
        <bgColor indexed="64"/>
      </patternFill>
    </fill>
    <fill>
      <patternFill patternType="solid">
        <fgColor theme="5" tint="0.59999389629810485"/>
        <bgColor indexed="64"/>
      </patternFill>
    </fill>
    <fill>
      <patternFill patternType="solid">
        <fgColor rgb="FF92D050"/>
        <bgColor indexed="64"/>
      </patternFill>
    </fill>
    <fill>
      <patternFill patternType="solid">
        <fgColor theme="3" tint="0.59999389629810485"/>
        <bgColor indexed="64"/>
      </patternFill>
    </fill>
    <fill>
      <patternFill patternType="solid">
        <fgColor theme="4" tint="0.79992065187536243"/>
        <bgColor indexed="64"/>
      </patternFill>
    </fill>
    <fill>
      <patternFill patternType="solid">
        <fgColor rgb="FF00B0F0"/>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FFCC99"/>
        <bgColor indexed="64"/>
      </patternFill>
    </fill>
    <fill>
      <patternFill patternType="solid">
        <fgColor rgb="FFFFFFFF"/>
        <bgColor indexed="64"/>
      </patternFill>
    </fill>
    <fill>
      <patternFill patternType="solid">
        <fgColor theme="0"/>
        <bgColor indexed="64"/>
      </patternFill>
    </fill>
    <fill>
      <patternFill patternType="solid">
        <fgColor theme="6" tint="0.79992065187536243"/>
        <bgColor indexed="64"/>
      </patternFill>
    </fill>
    <fill>
      <patternFill patternType="solid">
        <fgColor rgb="FFFFFF99"/>
        <bgColor indexed="64"/>
      </patternFill>
    </fill>
    <fill>
      <patternFill patternType="solid">
        <fgColor rgb="FFD9D9D9"/>
        <bgColor indexed="64"/>
      </patternFill>
    </fill>
    <fill>
      <patternFill patternType="solid">
        <fgColor theme="8" tint="0.79992065187536243"/>
        <bgColor indexed="64"/>
      </patternFill>
    </fill>
    <fill>
      <patternFill patternType="solid">
        <fgColor rgb="FFFFFF00"/>
        <bgColor indexed="64"/>
      </patternFill>
    </fill>
    <fill>
      <patternFill patternType="solid">
        <fgColor theme="8" tint="0.39991454817346722"/>
        <bgColor indexed="64"/>
      </patternFill>
    </fill>
    <fill>
      <patternFill patternType="solid">
        <fgColor theme="7" tint="0.59999389629810485"/>
        <bgColor indexed="64"/>
      </patternFill>
    </fill>
    <fill>
      <patternFill patternType="solid">
        <fgColor theme="7" tint="0.39991454817346722"/>
        <bgColor indexed="64"/>
      </patternFill>
    </fill>
    <fill>
      <patternFill patternType="solid">
        <fgColor theme="8" tint="0.59999389629810485"/>
        <bgColor indexed="64"/>
      </patternFill>
    </fill>
    <fill>
      <patternFill patternType="solid">
        <fgColor theme="5" tint="0.39991454817346722"/>
        <bgColor indexed="64"/>
      </patternFill>
    </fill>
    <fill>
      <patternFill patternType="solid">
        <fgColor theme="6" tint="0.59999389629810485"/>
        <bgColor indexed="64"/>
      </patternFill>
    </fill>
    <fill>
      <patternFill patternType="gray125">
        <bgColor theme="0"/>
      </patternFill>
    </fill>
    <fill>
      <patternFill patternType="solid">
        <fgColor indexed="65"/>
        <bgColor indexed="64"/>
      </patternFill>
    </fill>
    <fill>
      <patternFill patternType="lightGray"/>
    </fill>
    <fill>
      <patternFill patternType="solid">
        <fgColor theme="0" tint="-4.9989318521683403E-2"/>
        <bgColor indexed="64"/>
      </patternFill>
    </fill>
    <fill>
      <patternFill patternType="solid">
        <fgColor rgb="FFFFFFFF"/>
        <bgColor rgb="FF000000"/>
      </patternFill>
    </fill>
    <fill>
      <patternFill patternType="solid">
        <fgColor rgb="FFFFFFFF"/>
        <bgColor rgb="FFFFFFFF"/>
      </patternFill>
    </fill>
    <fill>
      <patternFill patternType="solid">
        <fgColor theme="9" tint="0.39997558519241921"/>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s>
  <borders count="7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mediumDashed">
        <color auto="1"/>
      </left>
      <right style="thin">
        <color auto="1"/>
      </right>
      <top style="mediumDashed">
        <color auto="1"/>
      </top>
      <bottom style="thin">
        <color auto="1"/>
      </bottom>
      <diagonal/>
    </border>
    <border>
      <left style="thin">
        <color auto="1"/>
      </left>
      <right style="thin">
        <color auto="1"/>
      </right>
      <top style="mediumDashed">
        <color auto="1"/>
      </top>
      <bottom style="thin">
        <color auto="1"/>
      </bottom>
      <diagonal/>
    </border>
    <border>
      <left style="thin">
        <color auto="1"/>
      </left>
      <right/>
      <top style="mediumDashed">
        <color auto="1"/>
      </top>
      <bottom style="thin">
        <color auto="1"/>
      </bottom>
      <diagonal/>
    </border>
    <border>
      <left style="mediumDashed">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Dashed">
        <color auto="1"/>
      </left>
      <right style="thin">
        <color auto="1"/>
      </right>
      <top/>
      <bottom style="thin">
        <color auto="1"/>
      </bottom>
      <diagonal/>
    </border>
    <border>
      <left style="thin">
        <color auto="1"/>
      </left>
      <right style="thin">
        <color auto="1"/>
      </right>
      <top/>
      <bottom style="thin">
        <color auto="1"/>
      </bottom>
      <diagonal/>
    </border>
    <border>
      <left style="mediumDashed">
        <color auto="1"/>
      </left>
      <right style="thin">
        <color auto="1"/>
      </right>
      <top style="thin">
        <color auto="1"/>
      </top>
      <bottom style="thin">
        <color auto="1"/>
      </bottom>
      <diagonal/>
    </border>
    <border>
      <left/>
      <right/>
      <top style="thin">
        <color auto="1"/>
      </top>
      <bottom/>
      <diagonal/>
    </border>
    <border>
      <left style="mediumDashed">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Dashed">
        <color auto="1"/>
      </left>
      <right style="thin">
        <color auto="1"/>
      </right>
      <top style="medium">
        <color auto="1"/>
      </top>
      <bottom style="mediumDashed">
        <color auto="1"/>
      </bottom>
      <diagonal/>
    </border>
    <border>
      <left style="thin">
        <color auto="1"/>
      </left>
      <right style="thin">
        <color auto="1"/>
      </right>
      <top style="medium">
        <color auto="1"/>
      </top>
      <bottom style="mediumDashed">
        <color auto="1"/>
      </bottom>
      <diagonal/>
    </border>
    <border>
      <left style="thin">
        <color auto="1"/>
      </left>
      <right style="medium">
        <color auto="1"/>
      </right>
      <top style="medium">
        <color auto="1"/>
      </top>
      <bottom style="mediumDashed">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double">
        <color auto="1"/>
      </left>
      <right style="double">
        <color auto="1"/>
      </right>
      <top/>
      <bottom style="double">
        <color auto="1"/>
      </bottom>
      <diagonal/>
    </border>
    <border>
      <left style="thin">
        <color auto="1"/>
      </left>
      <right style="double">
        <color auto="1"/>
      </right>
      <top style="double">
        <color auto="1"/>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style="double">
        <color auto="1"/>
      </bottom>
      <diagonal/>
    </border>
    <border>
      <left/>
      <right style="mediumDashed">
        <color auto="1"/>
      </right>
      <top style="mediumDashed">
        <color auto="1"/>
      </top>
      <bottom style="thin">
        <color auto="1"/>
      </bottom>
      <diagonal/>
    </border>
    <border>
      <left style="thin">
        <color auto="1"/>
      </left>
      <right style="mediumDashed">
        <color auto="1"/>
      </right>
      <top style="thin">
        <color auto="1"/>
      </top>
      <bottom style="thin">
        <color auto="1"/>
      </bottom>
      <diagonal/>
    </border>
    <border>
      <left style="medium">
        <color auto="1"/>
      </left>
      <right style="mediumDashed">
        <color auto="1"/>
      </right>
      <top style="thin">
        <color auto="1"/>
      </top>
      <bottom style="mediumDashed">
        <color auto="1"/>
      </bottom>
      <diagonal/>
    </border>
    <border>
      <left style="thin">
        <color auto="1"/>
      </left>
      <right style="mediumDashed">
        <color auto="1"/>
      </right>
      <top style="mediumDashed">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diagonal/>
    </border>
    <border>
      <left style="thin">
        <color auto="1"/>
      </left>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diagonal/>
    </border>
    <border>
      <left/>
      <right style="thin">
        <color auto="1"/>
      </right>
      <top/>
      <bottom/>
      <diagonal/>
    </border>
    <border>
      <left style="thin">
        <color auto="1"/>
      </left>
      <right/>
      <top/>
      <bottom style="medium">
        <color auto="1"/>
      </bottom>
      <diagonal/>
    </border>
    <border>
      <left/>
      <right style="thin">
        <color auto="1"/>
      </right>
      <top style="thin">
        <color auto="1"/>
      </top>
      <bottom/>
      <diagonal/>
    </border>
    <border>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auto="1"/>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style="medium">
        <color auto="1"/>
      </left>
      <right/>
      <top/>
      <bottom/>
      <diagonal/>
    </border>
    <border>
      <left style="double">
        <color auto="1"/>
      </left>
      <right style="double">
        <color auto="1"/>
      </right>
      <top style="double">
        <color auto="1"/>
      </top>
      <bottom style="double">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right style="thin">
        <color auto="1"/>
      </right>
      <top style="medium">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dashed">
        <color auto="1"/>
      </left>
      <right/>
      <top style="dashed">
        <color auto="1"/>
      </top>
      <bottom style="thin">
        <color auto="1"/>
      </bottom>
      <diagonal/>
    </border>
    <border>
      <left/>
      <right/>
      <top style="dashed">
        <color auto="1"/>
      </top>
      <bottom style="thin">
        <color auto="1"/>
      </bottom>
      <diagonal/>
    </border>
    <border>
      <left/>
      <right style="dashed">
        <color auto="1"/>
      </right>
      <top style="dashed">
        <color auto="1"/>
      </top>
      <bottom style="thin">
        <color auto="1"/>
      </bottom>
      <diagonal/>
    </border>
    <border diagonalUp="1" diagonalDown="1">
      <left style="thin">
        <color auto="1"/>
      </left>
      <right style="thin">
        <color auto="1"/>
      </right>
      <top style="thin">
        <color auto="1"/>
      </top>
      <bottom style="thin">
        <color auto="1"/>
      </bottom>
      <diagonal style="thin">
        <color auto="1"/>
      </diagonal>
    </border>
  </borders>
  <cellStyleXfs count="96">
    <xf numFmtId="0" fontId="0" fillId="0" borderId="0"/>
    <xf numFmtId="44" fontId="29" fillId="0" borderId="0" applyFont="0" applyFill="0" applyBorder="0" applyAlignment="0" applyProtection="0"/>
    <xf numFmtId="44" fontId="36" fillId="0" borderId="0" applyFont="0" applyFill="0" applyBorder="0" applyAlignment="0" applyProtection="0"/>
    <xf numFmtId="167" fontId="29" fillId="0" borderId="0" applyFont="0" applyFill="0" applyBorder="0" applyAlignment="0" applyProtection="0"/>
    <xf numFmtId="168" fontId="88" fillId="0" borderId="0" applyFont="0" applyFill="0" applyBorder="0" applyAlignment="0" applyProtection="0"/>
    <xf numFmtId="168" fontId="88" fillId="0" borderId="0" applyFont="0" applyFill="0" applyBorder="0" applyAlignment="0" applyProtection="0"/>
    <xf numFmtId="168" fontId="36" fillId="0" borderId="0" applyFont="0" applyFill="0" applyBorder="0" applyAlignment="0" applyProtection="0"/>
    <xf numFmtId="44" fontId="29" fillId="0" borderId="0" applyFont="0" applyFill="0" applyBorder="0" applyAlignment="0" applyProtection="0"/>
    <xf numFmtId="44" fontId="36" fillId="0" borderId="0" applyFont="0" applyFill="0" applyBorder="0" applyAlignment="0" applyProtection="0"/>
    <xf numFmtId="44" fontId="36" fillId="0" borderId="0" applyFont="0" applyFill="0" applyBorder="0" applyAlignment="0" applyProtection="0"/>
    <xf numFmtId="44" fontId="29" fillId="0" borderId="0" applyFont="0" applyFill="0" applyBorder="0" applyAlignment="0" applyProtection="0"/>
    <xf numFmtId="44" fontId="36" fillId="0" borderId="0" applyFont="0" applyFill="0" applyBorder="0" applyAlignment="0" applyProtection="0"/>
    <xf numFmtId="44" fontId="36" fillId="0" borderId="0" applyFont="0" applyFill="0" applyBorder="0" applyAlignment="0" applyProtection="0"/>
    <xf numFmtId="44" fontId="36" fillId="0" borderId="0" applyFont="0" applyFill="0" applyBorder="0" applyAlignment="0" applyProtection="0"/>
    <xf numFmtId="0" fontId="36" fillId="0" borderId="0"/>
    <xf numFmtId="0" fontId="36" fillId="0" borderId="0"/>
    <xf numFmtId="0" fontId="36" fillId="0" borderId="0"/>
    <xf numFmtId="0" fontId="36" fillId="0" borderId="0"/>
    <xf numFmtId="0" fontId="29"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62" fillId="0" borderId="0"/>
    <xf numFmtId="0" fontId="36" fillId="0" borderId="0"/>
    <xf numFmtId="0" fontId="36" fillId="0" borderId="0"/>
    <xf numFmtId="0" fontId="36" fillId="0" borderId="0"/>
    <xf numFmtId="0" fontId="36" fillId="0" borderId="0"/>
    <xf numFmtId="0" fontId="36" fillId="0" borderId="0"/>
    <xf numFmtId="0" fontId="29"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9" fillId="0" borderId="0"/>
    <xf numFmtId="0" fontId="36" fillId="0" borderId="0"/>
    <xf numFmtId="0" fontId="36" fillId="0" borderId="0"/>
    <xf numFmtId="0" fontId="29"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73" fillId="0" borderId="0">
      <alignment vertical="center"/>
    </xf>
    <xf numFmtId="0" fontId="36" fillId="0" borderId="0"/>
    <xf numFmtId="0" fontId="36" fillId="0" borderId="0"/>
    <xf numFmtId="0" fontId="36" fillId="0" borderId="0"/>
    <xf numFmtId="0" fontId="73" fillId="0" borderId="0">
      <alignment vertical="center"/>
    </xf>
    <xf numFmtId="9" fontId="29" fillId="0" borderId="0" applyFill="0" applyBorder="0" applyAlignment="0" applyProtection="0"/>
    <xf numFmtId="9" fontId="88" fillId="0" borderId="0" applyFont="0" applyFill="0" applyBorder="0" applyAlignment="0" applyProtection="0"/>
    <xf numFmtId="9" fontId="29" fillId="0" borderId="0" applyFont="0" applyFill="0" applyBorder="0" applyAlignment="0" applyProtection="0"/>
    <xf numFmtId="9" fontId="88" fillId="0" borderId="0" applyFont="0" applyFill="0" applyBorder="0" applyAlignment="0" applyProtection="0"/>
    <xf numFmtId="166" fontId="29" fillId="0" borderId="0" applyFont="0" applyFill="0" applyBorder="0" applyAlignment="0" applyProtection="0"/>
    <xf numFmtId="0" fontId="29" fillId="0" borderId="0"/>
    <xf numFmtId="43" fontId="29" fillId="0" borderId="0" applyFont="0" applyFill="0" applyBorder="0" applyAlignment="0" applyProtection="0"/>
    <xf numFmtId="166" fontId="88" fillId="0" borderId="0" applyFont="0" applyFill="0" applyBorder="0" applyAlignment="0" applyProtection="0"/>
    <xf numFmtId="43" fontId="36" fillId="0" borderId="0" applyFont="0" applyFill="0" applyBorder="0" applyAlignment="0" applyProtection="0"/>
    <xf numFmtId="43" fontId="36" fillId="0" borderId="0" applyFont="0" applyFill="0" applyBorder="0" applyAlignment="0" applyProtection="0"/>
    <xf numFmtId="43" fontId="29" fillId="0" borderId="0" applyFont="0" applyFill="0" applyBorder="0" applyAlignment="0" applyProtection="0"/>
    <xf numFmtId="44" fontId="29" fillId="0" borderId="0" applyFont="0" applyFill="0" applyBorder="0" applyAlignment="0" applyProtection="0"/>
    <xf numFmtId="44" fontId="36"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36" fillId="0" borderId="0" applyFont="0" applyFill="0" applyBorder="0" applyAlignment="0" applyProtection="0"/>
    <xf numFmtId="44" fontId="36" fillId="0" borderId="0" applyFont="0" applyFill="0" applyBorder="0" applyAlignment="0" applyProtection="0"/>
    <xf numFmtId="44" fontId="29" fillId="0" borderId="0" applyFont="0" applyFill="0" applyBorder="0" applyAlignment="0" applyProtection="0"/>
    <xf numFmtId="44" fontId="36" fillId="0" borderId="0" applyFont="0" applyFill="0" applyBorder="0" applyAlignment="0" applyProtection="0"/>
    <xf numFmtId="44" fontId="36" fillId="0" borderId="0" applyFont="0" applyFill="0" applyBorder="0" applyAlignment="0" applyProtection="0"/>
    <xf numFmtId="44" fontId="36"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88" fillId="0" borderId="0" applyFont="0" applyFill="0" applyBorder="0" applyAlignment="0" applyProtection="0"/>
    <xf numFmtId="43" fontId="36" fillId="0" borderId="0" applyFont="0" applyFill="0" applyBorder="0" applyAlignment="0" applyProtection="0"/>
    <xf numFmtId="43" fontId="36" fillId="0" borderId="0" applyFont="0" applyFill="0" applyBorder="0" applyAlignment="0" applyProtection="0"/>
    <xf numFmtId="0" fontId="3" fillId="0" borderId="0"/>
    <xf numFmtId="44" fontId="3" fillId="0" borderId="0" applyFont="0" applyFill="0" applyBorder="0" applyAlignment="0" applyProtection="0"/>
    <xf numFmtId="0" fontId="29" fillId="0" borderId="0"/>
    <xf numFmtId="0" fontId="2" fillId="0" borderId="0"/>
    <xf numFmtId="44" fontId="2" fillId="0" borderId="0" applyFont="0" applyFill="0" applyBorder="0" applyAlignment="0" applyProtection="0"/>
    <xf numFmtId="0" fontId="1" fillId="0" borderId="0"/>
    <xf numFmtId="0" fontId="1" fillId="0" borderId="0"/>
    <xf numFmtId="0" fontId="1" fillId="0" borderId="0"/>
    <xf numFmtId="0" fontId="1" fillId="0" borderId="0"/>
    <xf numFmtId="0" fontId="123" fillId="0" borderId="0"/>
  </cellStyleXfs>
  <cellXfs count="1253">
    <xf numFmtId="0" fontId="0" fillId="0" borderId="0" xfId="0"/>
    <xf numFmtId="0" fontId="4" fillId="0" borderId="0" xfId="52" applyFont="1" applyAlignment="1">
      <alignment horizontal="center" vertical="center"/>
    </xf>
    <xf numFmtId="0" fontId="4" fillId="0" borderId="0" xfId="52" applyFont="1"/>
    <xf numFmtId="44" fontId="4" fillId="0" borderId="0" xfId="52" applyNumberFormat="1" applyFont="1"/>
    <xf numFmtId="169" fontId="4" fillId="0" borderId="0" xfId="52" applyNumberFormat="1" applyFont="1" applyAlignment="1">
      <alignment horizontal="center" vertical="center"/>
    </xf>
    <xf numFmtId="44" fontId="4" fillId="0" borderId="0" xfId="52" applyNumberFormat="1" applyFont="1" applyAlignment="1">
      <alignment horizontal="center" vertical="center"/>
    </xf>
    <xf numFmtId="10" fontId="4" fillId="0" borderId="0" xfId="52" applyNumberFormat="1" applyFont="1" applyAlignment="1">
      <alignment horizontal="center" vertical="center"/>
    </xf>
    <xf numFmtId="0" fontId="5" fillId="0" borderId="1" xfId="52" applyFont="1" applyBorder="1"/>
    <xf numFmtId="44" fontId="6" fillId="0" borderId="3" xfId="52" applyNumberFormat="1" applyFont="1" applyBorder="1" applyAlignment="1">
      <alignment horizontal="center" vertical="center" wrapText="1"/>
    </xf>
    <xf numFmtId="0" fontId="4" fillId="0" borderId="9" xfId="52" applyFont="1" applyBorder="1" applyAlignment="1">
      <alignment horizontal="center" vertical="center"/>
    </xf>
    <xf numFmtId="0" fontId="5" fillId="0" borderId="2" xfId="52" applyFont="1" applyBorder="1" applyAlignment="1">
      <alignment horizontal="center" vertical="center" wrapText="1"/>
    </xf>
    <xf numFmtId="44" fontId="7" fillId="0" borderId="3" xfId="52" applyNumberFormat="1" applyFont="1" applyBorder="1" applyAlignment="1">
      <alignment horizontal="center" vertical="center" wrapText="1"/>
    </xf>
    <xf numFmtId="44" fontId="5" fillId="4" borderId="2" xfId="52" applyNumberFormat="1" applyFont="1" applyFill="1" applyBorder="1" applyAlignment="1">
      <alignment horizontal="center" vertical="center" wrapText="1"/>
    </xf>
    <xf numFmtId="0" fontId="4" fillId="0" borderId="2" xfId="52" applyFont="1" applyBorder="1" applyAlignment="1">
      <alignment horizontal="center" vertical="center"/>
    </xf>
    <xf numFmtId="0" fontId="4" fillId="0" borderId="12" xfId="52" applyFont="1" applyBorder="1" applyAlignment="1">
      <alignment horizontal="center" vertical="center"/>
    </xf>
    <xf numFmtId="170" fontId="4" fillId="0" borderId="2" xfId="52" applyNumberFormat="1" applyFont="1" applyBorder="1" applyAlignment="1">
      <alignment horizontal="center" vertical="center"/>
    </xf>
    <xf numFmtId="44" fontId="4" fillId="0" borderId="2" xfId="52" applyNumberFormat="1" applyFont="1" applyBorder="1" applyAlignment="1">
      <alignment horizontal="center" vertical="center"/>
    </xf>
    <xf numFmtId="165" fontId="4" fillId="0" borderId="0" xfId="52" applyNumberFormat="1" applyFont="1" applyAlignment="1">
      <alignment horizontal="center" vertical="center"/>
    </xf>
    <xf numFmtId="44" fontId="4" fillId="0" borderId="13" xfId="52" applyNumberFormat="1" applyFont="1" applyBorder="1" applyAlignment="1">
      <alignment horizontal="center" vertical="center"/>
    </xf>
    <xf numFmtId="170" fontId="4" fillId="0" borderId="8" xfId="52" applyNumberFormat="1" applyFont="1" applyBorder="1" applyAlignment="1">
      <alignment horizontal="center" vertical="center"/>
    </xf>
    <xf numFmtId="0" fontId="4" fillId="0" borderId="14" xfId="52" applyFont="1" applyBorder="1" applyAlignment="1">
      <alignment horizontal="center" vertical="center"/>
    </xf>
    <xf numFmtId="170" fontId="4" fillId="0" borderId="15" xfId="52" applyNumberFormat="1" applyFont="1" applyBorder="1" applyAlignment="1">
      <alignment horizontal="center" vertical="center"/>
    </xf>
    <xf numFmtId="9" fontId="8" fillId="0" borderId="0" xfId="52" applyNumberFormat="1" applyFont="1" applyAlignment="1">
      <alignment horizontal="center" vertical="center"/>
    </xf>
    <xf numFmtId="44" fontId="9" fillId="3" borderId="18" xfId="52" applyNumberFormat="1" applyFont="1" applyFill="1" applyBorder="1" applyAlignment="1">
      <alignment vertical="center"/>
    </xf>
    <xf numFmtId="0" fontId="5" fillId="5" borderId="11" xfId="52" applyFont="1" applyFill="1" applyBorder="1" applyAlignment="1">
      <alignment horizontal="center" vertical="center"/>
    </xf>
    <xf numFmtId="44" fontId="5" fillId="6" borderId="2" xfId="52" applyNumberFormat="1" applyFont="1" applyFill="1" applyBorder="1" applyAlignment="1">
      <alignment horizontal="center" vertical="center"/>
    </xf>
    <xf numFmtId="0" fontId="5" fillId="6" borderId="2" xfId="52" applyFont="1" applyFill="1" applyBorder="1" applyAlignment="1">
      <alignment horizontal="center" vertical="center"/>
    </xf>
    <xf numFmtId="169" fontId="5" fillId="6" borderId="2" xfId="52" applyNumberFormat="1" applyFont="1" applyFill="1" applyBorder="1" applyAlignment="1">
      <alignment horizontal="center" vertical="center"/>
    </xf>
    <xf numFmtId="169" fontId="4" fillId="0" borderId="2" xfId="52" applyNumberFormat="1" applyFont="1" applyBorder="1" applyAlignment="1">
      <alignment horizontal="center" vertical="center"/>
    </xf>
    <xf numFmtId="0" fontId="10" fillId="9" borderId="11" xfId="51" applyFont="1" applyFill="1" applyBorder="1" applyAlignment="1">
      <alignment horizontal="center" vertical="center"/>
    </xf>
    <xf numFmtId="0" fontId="11" fillId="0" borderId="21" xfId="51" applyFont="1" applyBorder="1" applyAlignment="1">
      <alignment horizontal="center" vertical="center"/>
    </xf>
    <xf numFmtId="9" fontId="10" fillId="0" borderId="22" xfId="51" applyNumberFormat="1" applyFont="1" applyBorder="1" applyAlignment="1">
      <alignment horizontal="center" vertical="center"/>
    </xf>
    <xf numFmtId="0" fontId="12" fillId="0" borderId="0" xfId="51" applyFont="1" applyAlignment="1">
      <alignment horizontal="center"/>
    </xf>
    <xf numFmtId="0" fontId="13" fillId="0" borderId="2" xfId="51" applyFont="1" applyBorder="1" applyAlignment="1">
      <alignment horizontal="center" vertical="center"/>
    </xf>
    <xf numFmtId="44" fontId="13" fillId="0" borderId="2" xfId="51" applyNumberFormat="1" applyFont="1" applyBorder="1" applyAlignment="1">
      <alignment vertical="center"/>
    </xf>
    <xf numFmtId="44" fontId="14" fillId="0" borderId="11" xfId="51" applyNumberFormat="1" applyFont="1" applyBorder="1" applyAlignment="1">
      <alignment vertical="center"/>
    </xf>
    <xf numFmtId="44" fontId="16" fillId="0" borderId="2" xfId="48" applyNumberFormat="1" applyFont="1" applyBorder="1" applyAlignment="1">
      <alignment horizontal="center" vertical="center"/>
    </xf>
    <xf numFmtId="0" fontId="17" fillId="0" borderId="23" xfId="51" applyFont="1" applyBorder="1" applyAlignment="1">
      <alignment horizontal="center" vertical="center"/>
    </xf>
    <xf numFmtId="43" fontId="16" fillId="0" borderId="2" xfId="48" applyNumberFormat="1" applyFont="1" applyBorder="1" applyAlignment="1">
      <alignment horizontal="center" vertical="center"/>
    </xf>
    <xf numFmtId="0" fontId="12" fillId="0" borderId="24" xfId="51" applyFont="1" applyBorder="1" applyAlignment="1">
      <alignment horizontal="center" vertical="center"/>
    </xf>
    <xf numFmtId="10" fontId="16" fillId="0" borderId="2" xfId="48" applyNumberFormat="1" applyFont="1" applyBorder="1" applyAlignment="1">
      <alignment horizontal="center" vertical="center"/>
    </xf>
    <xf numFmtId="0" fontId="12" fillId="0" borderId="25" xfId="51" applyFont="1" applyBorder="1" applyAlignment="1">
      <alignment horizontal="center" vertical="center"/>
    </xf>
    <xf numFmtId="0" fontId="5" fillId="3" borderId="26" xfId="52" applyFont="1" applyFill="1" applyBorder="1" applyAlignment="1">
      <alignment horizontal="center" vertical="center"/>
    </xf>
    <xf numFmtId="0" fontId="4" fillId="0" borderId="27" xfId="52" applyFont="1" applyBorder="1" applyAlignment="1">
      <alignment horizontal="center" vertical="center"/>
    </xf>
    <xf numFmtId="44" fontId="4" fillId="0" borderId="20" xfId="52" applyNumberFormat="1" applyFont="1" applyBorder="1" applyAlignment="1">
      <alignment horizontal="center" vertical="center"/>
    </xf>
    <xf numFmtId="0" fontId="5" fillId="0" borderId="2" xfId="52" applyFont="1" applyBorder="1" applyAlignment="1">
      <alignment horizontal="center" vertical="center"/>
    </xf>
    <xf numFmtId="10" fontId="5" fillId="0" borderId="2" xfId="52" applyNumberFormat="1" applyFont="1" applyBorder="1" applyAlignment="1">
      <alignment horizontal="center" vertical="center"/>
    </xf>
    <xf numFmtId="0" fontId="5" fillId="2" borderId="27" xfId="52" applyFont="1" applyFill="1" applyBorder="1" applyAlignment="1">
      <alignment horizontal="center" vertical="center" wrapText="1"/>
    </xf>
    <xf numFmtId="44" fontId="5" fillId="2" borderId="20" xfId="52" applyNumberFormat="1" applyFont="1" applyFill="1" applyBorder="1" applyAlignment="1">
      <alignment horizontal="center" vertical="center" wrapText="1"/>
    </xf>
    <xf numFmtId="44" fontId="5" fillId="2" borderId="2" xfId="52" applyNumberFormat="1" applyFont="1" applyFill="1" applyBorder="1" applyAlignment="1">
      <alignment horizontal="center" vertical="center" wrapText="1"/>
    </xf>
    <xf numFmtId="44" fontId="5" fillId="0" borderId="2" xfId="52" applyNumberFormat="1" applyFont="1" applyBorder="1" applyAlignment="1">
      <alignment horizontal="center" vertical="center" wrapText="1"/>
    </xf>
    <xf numFmtId="10" fontId="5" fillId="0" borderId="2" xfId="52" applyNumberFormat="1" applyFont="1" applyBorder="1" applyAlignment="1">
      <alignment horizontal="center" vertical="center" wrapText="1"/>
    </xf>
    <xf numFmtId="44" fontId="18" fillId="0" borderId="27" xfId="52" applyNumberFormat="1" applyFont="1" applyBorder="1" applyAlignment="1">
      <alignment horizontal="center" vertical="center"/>
    </xf>
    <xf numFmtId="44" fontId="18" fillId="0" borderId="20" xfId="52" applyNumberFormat="1" applyFont="1" applyBorder="1" applyAlignment="1">
      <alignment horizontal="center" vertical="center"/>
    </xf>
    <xf numFmtId="44" fontId="19" fillId="0" borderId="2" xfId="52" applyNumberFormat="1" applyFont="1" applyBorder="1" applyAlignment="1">
      <alignment horizontal="center" vertical="center"/>
    </xf>
    <xf numFmtId="44" fontId="18" fillId="0" borderId="2" xfId="52" applyNumberFormat="1" applyFont="1" applyBorder="1" applyAlignment="1">
      <alignment horizontal="center" vertical="center"/>
    </xf>
    <xf numFmtId="10" fontId="4" fillId="0" borderId="2" xfId="52" applyNumberFormat="1" applyFont="1" applyBorder="1" applyAlignment="1">
      <alignment horizontal="center" vertical="center"/>
    </xf>
    <xf numFmtId="0" fontId="5" fillId="3" borderId="28" xfId="52" applyFont="1" applyFill="1" applyBorder="1" applyAlignment="1">
      <alignment vertical="center"/>
    </xf>
    <xf numFmtId="10" fontId="5" fillId="11" borderId="2" xfId="52" applyNumberFormat="1" applyFont="1" applyFill="1" applyBorder="1" applyAlignment="1">
      <alignment horizontal="center" vertical="center"/>
    </xf>
    <xf numFmtId="0" fontId="20" fillId="0" borderId="0" xfId="52" applyFont="1" applyAlignment="1">
      <alignment horizontal="center" vertical="center"/>
    </xf>
    <xf numFmtId="165" fontId="4" fillId="0" borderId="2" xfId="52" applyNumberFormat="1" applyFont="1" applyBorder="1" applyAlignment="1">
      <alignment horizontal="center" vertical="center"/>
    </xf>
    <xf numFmtId="165" fontId="5" fillId="0" borderId="2" xfId="52" applyNumberFormat="1" applyFont="1" applyBorder="1" applyAlignment="1">
      <alignment horizontal="center" vertical="center"/>
    </xf>
    <xf numFmtId="165" fontId="4" fillId="7" borderId="2" xfId="52" applyNumberFormat="1" applyFont="1" applyFill="1" applyBorder="1" applyAlignment="1">
      <alignment horizontal="center" vertical="center"/>
    </xf>
    <xf numFmtId="43" fontId="4" fillId="0" borderId="0" xfId="52" applyNumberFormat="1" applyFont="1" applyAlignment="1">
      <alignment horizontal="center" vertical="center"/>
    </xf>
    <xf numFmtId="0" fontId="5" fillId="12" borderId="29" xfId="52" applyFont="1" applyFill="1" applyBorder="1" applyAlignment="1">
      <alignment horizontal="center" vertical="center"/>
    </xf>
    <xf numFmtId="44" fontId="5" fillId="13" borderId="2" xfId="52" applyNumberFormat="1" applyFont="1" applyFill="1" applyBorder="1" applyAlignment="1">
      <alignment horizontal="center" vertical="center" wrapText="1"/>
    </xf>
    <xf numFmtId="0" fontId="4" fillId="0" borderId="7" xfId="52" applyFont="1" applyBorder="1" applyAlignment="1">
      <alignment horizontal="center" vertical="center"/>
    </xf>
    <xf numFmtId="44" fontId="5" fillId="12" borderId="18" xfId="52" applyNumberFormat="1" applyFont="1" applyFill="1" applyBorder="1" applyAlignment="1">
      <alignment vertical="center"/>
    </xf>
    <xf numFmtId="0" fontId="5" fillId="13" borderId="28" xfId="52" applyFont="1" applyFill="1" applyBorder="1" applyAlignment="1">
      <alignment vertical="center"/>
    </xf>
    <xf numFmtId="10" fontId="5" fillId="14" borderId="2" xfId="52" applyNumberFormat="1" applyFont="1" applyFill="1" applyBorder="1" applyAlignment="1">
      <alignment horizontal="center" vertical="center"/>
    </xf>
    <xf numFmtId="0" fontId="4" fillId="0" borderId="0" xfId="53" applyFont="1" applyAlignment="1">
      <alignment horizontal="center" vertical="center"/>
    </xf>
    <xf numFmtId="44" fontId="4" fillId="0" borderId="0" xfId="53" applyNumberFormat="1" applyFont="1" applyAlignment="1">
      <alignment horizontal="center" vertical="center"/>
    </xf>
    <xf numFmtId="0" fontId="4" fillId="0" borderId="0" xfId="53" applyFont="1"/>
    <xf numFmtId="44" fontId="4" fillId="0" borderId="0" xfId="53" applyNumberFormat="1" applyFont="1"/>
    <xf numFmtId="169" fontId="4" fillId="0" borderId="0" xfId="53" applyNumberFormat="1" applyFont="1" applyAlignment="1">
      <alignment horizontal="center" vertical="center"/>
    </xf>
    <xf numFmtId="0" fontId="5" fillId="0" borderId="1" xfId="53" applyFont="1" applyBorder="1"/>
    <xf numFmtId="44" fontId="6" fillId="0" borderId="3" xfId="53" applyNumberFormat="1" applyFont="1" applyBorder="1" applyAlignment="1">
      <alignment horizontal="center" vertical="center" wrapText="1"/>
    </xf>
    <xf numFmtId="0" fontId="4" fillId="0" borderId="9" xfId="53" applyFont="1" applyBorder="1" applyAlignment="1">
      <alignment horizontal="center" vertical="center"/>
    </xf>
    <xf numFmtId="0" fontId="5" fillId="0" borderId="2" xfId="53" applyFont="1" applyBorder="1" applyAlignment="1">
      <alignment horizontal="center" vertical="center" wrapText="1"/>
    </xf>
    <xf numFmtId="44" fontId="7" fillId="0" borderId="3" xfId="53" applyNumberFormat="1" applyFont="1" applyBorder="1" applyAlignment="1">
      <alignment horizontal="center" vertical="center" wrapText="1"/>
    </xf>
    <xf numFmtId="44" fontId="5" fillId="4" borderId="2" xfId="53" applyNumberFormat="1" applyFont="1" applyFill="1" applyBorder="1" applyAlignment="1">
      <alignment horizontal="center" vertical="center" wrapText="1"/>
    </xf>
    <xf numFmtId="0" fontId="4" fillId="0" borderId="2" xfId="53" applyFont="1" applyBorder="1" applyAlignment="1">
      <alignment horizontal="center" vertical="center"/>
    </xf>
    <xf numFmtId="0" fontId="4" fillId="0" borderId="12" xfId="53" applyFont="1" applyBorder="1" applyAlignment="1">
      <alignment horizontal="center" vertical="center"/>
    </xf>
    <xf numFmtId="170" fontId="4" fillId="0" borderId="2" xfId="53" applyNumberFormat="1" applyFont="1" applyBorder="1" applyAlignment="1">
      <alignment horizontal="center" vertical="center"/>
    </xf>
    <xf numFmtId="44" fontId="4" fillId="0" borderId="2" xfId="53" applyNumberFormat="1" applyFont="1" applyBorder="1" applyAlignment="1">
      <alignment horizontal="center" vertical="center"/>
    </xf>
    <xf numFmtId="44" fontId="4" fillId="0" borderId="13" xfId="53" applyNumberFormat="1" applyFont="1" applyBorder="1" applyAlignment="1">
      <alignment horizontal="center" vertical="center"/>
    </xf>
    <xf numFmtId="170" fontId="4" fillId="0" borderId="8" xfId="53" applyNumberFormat="1" applyFont="1" applyBorder="1" applyAlignment="1">
      <alignment horizontal="center" vertical="center"/>
    </xf>
    <xf numFmtId="0" fontId="4" fillId="0" borderId="14" xfId="53" applyFont="1" applyBorder="1" applyAlignment="1">
      <alignment horizontal="center" vertical="center"/>
    </xf>
    <xf numFmtId="170" fontId="4" fillId="0" borderId="15" xfId="53" applyNumberFormat="1" applyFont="1" applyBorder="1" applyAlignment="1">
      <alignment horizontal="center" vertical="center"/>
    </xf>
    <xf numFmtId="9" fontId="8" fillId="0" borderId="0" xfId="53" applyNumberFormat="1" applyFont="1" applyAlignment="1">
      <alignment horizontal="center" vertical="center"/>
    </xf>
    <xf numFmtId="44" fontId="9" fillId="3" borderId="18" xfId="53" applyNumberFormat="1" applyFont="1" applyFill="1" applyBorder="1" applyAlignment="1">
      <alignment vertical="center"/>
    </xf>
    <xf numFmtId="44" fontId="5" fillId="6" borderId="2" xfId="53" applyNumberFormat="1" applyFont="1" applyFill="1" applyBorder="1" applyAlignment="1">
      <alignment horizontal="center" vertical="center"/>
    </xf>
    <xf numFmtId="0" fontId="5" fillId="6" borderId="2" xfId="53" applyFont="1" applyFill="1" applyBorder="1" applyAlignment="1">
      <alignment horizontal="center" vertical="center"/>
    </xf>
    <xf numFmtId="169" fontId="5" fillId="6" borderId="2" xfId="53" applyNumberFormat="1" applyFont="1" applyFill="1" applyBorder="1" applyAlignment="1">
      <alignment horizontal="center" vertical="center"/>
    </xf>
    <xf numFmtId="0" fontId="10" fillId="9" borderId="11" xfId="53" applyFont="1" applyFill="1" applyBorder="1" applyAlignment="1">
      <alignment horizontal="center" vertical="center"/>
    </xf>
    <xf numFmtId="0" fontId="11" fillId="0" borderId="21" xfId="53" applyFont="1" applyBorder="1" applyAlignment="1">
      <alignment horizontal="center" vertical="center"/>
    </xf>
    <xf numFmtId="9" fontId="10" fillId="0" borderId="22" xfId="53" applyNumberFormat="1" applyFont="1" applyBorder="1" applyAlignment="1">
      <alignment horizontal="center" vertical="center"/>
    </xf>
    <xf numFmtId="0" fontId="12" fillId="0" borderId="0" xfId="53" applyFont="1" applyAlignment="1">
      <alignment horizontal="center"/>
    </xf>
    <xf numFmtId="0" fontId="13" fillId="0" borderId="2" xfId="53" applyFont="1" applyBorder="1" applyAlignment="1">
      <alignment horizontal="center" vertical="center"/>
    </xf>
    <xf numFmtId="44" fontId="13" fillId="0" borderId="2" xfId="53" applyNumberFormat="1" applyFont="1" applyBorder="1" applyAlignment="1">
      <alignment vertical="center"/>
    </xf>
    <xf numFmtId="44" fontId="14" fillId="0" borderId="11" xfId="53" applyNumberFormat="1" applyFont="1" applyBorder="1" applyAlignment="1">
      <alignment vertical="center"/>
    </xf>
    <xf numFmtId="44" fontId="16" fillId="0" borderId="2" xfId="49" applyNumberFormat="1" applyFont="1" applyBorder="1" applyAlignment="1">
      <alignment horizontal="center" vertical="center"/>
    </xf>
    <xf numFmtId="0" fontId="17" fillId="0" borderId="23" xfId="53" applyFont="1" applyBorder="1" applyAlignment="1">
      <alignment horizontal="center" vertical="center"/>
    </xf>
    <xf numFmtId="43" fontId="16" fillId="0" borderId="2" xfId="49" applyNumberFormat="1" applyFont="1" applyBorder="1" applyAlignment="1">
      <alignment horizontal="center" vertical="center"/>
    </xf>
    <xf numFmtId="0" fontId="12" fillId="0" borderId="24" xfId="53" applyFont="1" applyBorder="1" applyAlignment="1">
      <alignment horizontal="center" vertical="center"/>
    </xf>
    <xf numFmtId="10" fontId="16" fillId="0" borderId="2" xfId="49" applyNumberFormat="1" applyFont="1" applyBorder="1" applyAlignment="1">
      <alignment horizontal="center" vertical="center"/>
    </xf>
    <xf numFmtId="0" fontId="12" fillId="0" borderId="25" xfId="53" applyFont="1" applyBorder="1" applyAlignment="1">
      <alignment horizontal="center" vertical="center"/>
    </xf>
    <xf numFmtId="165" fontId="4" fillId="0" borderId="0" xfId="53" applyNumberFormat="1" applyFont="1" applyAlignment="1">
      <alignment horizontal="center" vertical="center"/>
    </xf>
    <xf numFmtId="0" fontId="5" fillId="3" borderId="26" xfId="53" applyFont="1" applyFill="1" applyBorder="1" applyAlignment="1">
      <alignment horizontal="center" vertical="center"/>
    </xf>
    <xf numFmtId="0" fontId="4" fillId="0" borderId="27" xfId="53" applyFont="1" applyBorder="1" applyAlignment="1">
      <alignment horizontal="center" vertical="center"/>
    </xf>
    <xf numFmtId="0" fontId="5" fillId="2" borderId="27" xfId="53" applyFont="1" applyFill="1" applyBorder="1" applyAlignment="1">
      <alignment horizontal="center" vertical="center" wrapText="1"/>
    </xf>
    <xf numFmtId="44" fontId="5" fillId="13" borderId="2" xfId="53" applyNumberFormat="1" applyFont="1" applyFill="1" applyBorder="1" applyAlignment="1">
      <alignment horizontal="center" vertical="center" wrapText="1"/>
    </xf>
    <xf numFmtId="44" fontId="18" fillId="0" borderId="27" xfId="53" applyNumberFormat="1" applyFont="1" applyBorder="1" applyAlignment="1">
      <alignment horizontal="center" vertical="center"/>
    </xf>
    <xf numFmtId="0" fontId="4" fillId="0" borderId="7" xfId="53" applyFont="1" applyBorder="1" applyAlignment="1">
      <alignment horizontal="center" vertical="center"/>
    </xf>
    <xf numFmtId="0" fontId="5" fillId="3" borderId="28" xfId="53" applyFont="1" applyFill="1" applyBorder="1" applyAlignment="1">
      <alignment vertical="center"/>
    </xf>
    <xf numFmtId="44" fontId="5" fillId="12" borderId="18" xfId="53" applyNumberFormat="1" applyFont="1" applyFill="1" applyBorder="1" applyAlignment="1">
      <alignment vertical="center"/>
    </xf>
    <xf numFmtId="0" fontId="20" fillId="0" borderId="0" xfId="53" applyFont="1" applyAlignment="1">
      <alignment horizontal="center" vertical="center"/>
    </xf>
    <xf numFmtId="165" fontId="19" fillId="0" borderId="2" xfId="53" applyNumberFormat="1" applyFont="1" applyBorder="1" applyAlignment="1">
      <alignment horizontal="center" vertical="center"/>
    </xf>
    <xf numFmtId="165" fontId="9" fillId="0" borderId="2" xfId="53" applyNumberFormat="1" applyFont="1" applyBorder="1" applyAlignment="1">
      <alignment horizontal="center" vertical="center"/>
    </xf>
    <xf numFmtId="43" fontId="4" fillId="0" borderId="0" xfId="53" applyNumberFormat="1" applyFont="1" applyAlignment="1">
      <alignment horizontal="center" vertical="center"/>
    </xf>
    <xf numFmtId="0" fontId="21" fillId="0" borderId="0" xfId="43" applyFont="1" applyAlignment="1">
      <alignment horizontal="center" vertical="center"/>
    </xf>
    <xf numFmtId="0" fontId="21" fillId="0" borderId="0" xfId="43" applyFont="1" applyAlignment="1">
      <alignment vertical="center"/>
    </xf>
    <xf numFmtId="0" fontId="22" fillId="0" borderId="0" xfId="43" applyFont="1" applyAlignment="1" applyProtection="1">
      <alignment horizontal="center" vertical="center"/>
      <protection locked="0"/>
    </xf>
    <xf numFmtId="10" fontId="22" fillId="0" borderId="0" xfId="43" applyNumberFormat="1" applyFont="1" applyAlignment="1" applyProtection="1">
      <alignment horizontal="center" vertical="center"/>
      <protection locked="0"/>
    </xf>
    <xf numFmtId="0" fontId="23" fillId="0" borderId="2" xfId="0" applyFont="1" applyBorder="1" applyAlignment="1">
      <alignment horizontal="center" vertical="center" wrapText="1"/>
    </xf>
    <xf numFmtId="43" fontId="23" fillId="0" borderId="2" xfId="0" applyNumberFormat="1" applyFont="1" applyBorder="1" applyAlignment="1">
      <alignment horizontal="center" vertical="center" wrapText="1"/>
    </xf>
    <xf numFmtId="43" fontId="23" fillId="0" borderId="8" xfId="0" applyNumberFormat="1" applyFont="1" applyBorder="1" applyAlignment="1">
      <alignment horizontal="center" vertical="center" wrapText="1"/>
    </xf>
    <xf numFmtId="0" fontId="9" fillId="16" borderId="2" xfId="0" applyFont="1" applyFill="1" applyBorder="1" applyAlignment="1">
      <alignment horizontal="center" vertical="center" wrapText="1"/>
    </xf>
    <xf numFmtId="0" fontId="9" fillId="16" borderId="9" xfId="0" applyFont="1" applyFill="1" applyBorder="1" applyAlignment="1">
      <alignment horizontal="center" vertical="center" wrapText="1"/>
    </xf>
    <xf numFmtId="44" fontId="9" fillId="16" borderId="30" xfId="7" applyFont="1" applyFill="1" applyBorder="1" applyAlignment="1">
      <alignment horizontal="center" vertical="center"/>
    </xf>
    <xf numFmtId="0" fontId="19" fillId="0" borderId="2" xfId="0" applyFont="1" applyBorder="1" applyAlignment="1">
      <alignment horizontal="center" vertical="center"/>
    </xf>
    <xf numFmtId="44" fontId="19" fillId="0" borderId="2" xfId="7" applyFont="1" applyBorder="1" applyAlignment="1">
      <alignment horizontal="center" vertical="center"/>
    </xf>
    <xf numFmtId="43" fontId="19" fillId="0" borderId="31" xfId="0" applyNumberFormat="1" applyFont="1" applyBorder="1" applyAlignment="1">
      <alignment horizontal="center" vertical="center"/>
    </xf>
    <xf numFmtId="0" fontId="9" fillId="16" borderId="2" xfId="0" applyFont="1" applyFill="1" applyBorder="1" applyAlignment="1">
      <alignment horizontal="center" vertical="center"/>
    </xf>
    <xf numFmtId="0" fontId="19" fillId="0" borderId="8" xfId="0" applyFont="1" applyBorder="1" applyAlignment="1">
      <alignment horizontal="center" vertical="center"/>
    </xf>
    <xf numFmtId="44" fontId="19" fillId="0" borderId="2" xfId="7" applyFont="1" applyFill="1" applyBorder="1" applyAlignment="1">
      <alignment horizontal="center" vertical="center"/>
    </xf>
    <xf numFmtId="0" fontId="19" fillId="0" borderId="2" xfId="0" applyFont="1" applyBorder="1" applyAlignment="1">
      <alignment horizontal="center" vertical="center" wrapText="1"/>
    </xf>
    <xf numFmtId="0" fontId="9" fillId="16" borderId="19" xfId="0" applyFont="1" applyFill="1" applyBorder="1" applyAlignment="1">
      <alignment horizontal="center" vertical="center"/>
    </xf>
    <xf numFmtId="43" fontId="9" fillId="16" borderId="19" xfId="0" applyNumberFormat="1" applyFont="1" applyFill="1" applyBorder="1" applyAlignment="1">
      <alignment horizontal="center" vertical="center"/>
    </xf>
    <xf numFmtId="43" fontId="8" fillId="16" borderId="8" xfId="0" applyNumberFormat="1" applyFont="1" applyFill="1" applyBorder="1" applyAlignment="1">
      <alignment horizontal="center" vertical="center"/>
    </xf>
    <xf numFmtId="0" fontId="19" fillId="0" borderId="2" xfId="0" applyFont="1" applyBorder="1" applyAlignment="1">
      <alignment horizontal="center"/>
    </xf>
    <xf numFmtId="10" fontId="19" fillId="0" borderId="2" xfId="0" applyNumberFormat="1" applyFont="1" applyBorder="1" applyAlignment="1">
      <alignment horizontal="center" vertical="center"/>
    </xf>
    <xf numFmtId="43" fontId="19" fillId="0" borderId="2" xfId="0" applyNumberFormat="1" applyFont="1" applyBorder="1" applyAlignment="1">
      <alignment horizontal="center" vertical="center"/>
    </xf>
    <xf numFmtId="43" fontId="9" fillId="0" borderId="9" xfId="0" applyNumberFormat="1" applyFont="1" applyBorder="1" applyAlignment="1">
      <alignment horizontal="center" vertical="center"/>
    </xf>
    <xf numFmtId="0" fontId="19" fillId="0" borderId="8" xfId="0" applyFont="1" applyBorder="1" applyAlignment="1">
      <alignment horizontal="center"/>
    </xf>
    <xf numFmtId="171" fontId="19" fillId="0" borderId="8" xfId="0" applyNumberFormat="1" applyFont="1" applyBorder="1" applyAlignment="1">
      <alignment horizontal="center" vertical="center"/>
    </xf>
    <xf numFmtId="43" fontId="19" fillId="0" borderId="8" xfId="0" applyNumberFormat="1" applyFont="1" applyBorder="1" applyAlignment="1">
      <alignment horizontal="center" vertical="center"/>
    </xf>
    <xf numFmtId="43" fontId="9" fillId="0" borderId="32" xfId="0" applyNumberFormat="1" applyFont="1" applyBorder="1" applyAlignment="1">
      <alignment horizontal="center" vertical="center"/>
    </xf>
    <xf numFmtId="0" fontId="19" fillId="0" borderId="11" xfId="0" applyFont="1" applyBorder="1" applyAlignment="1">
      <alignment horizontal="center"/>
    </xf>
    <xf numFmtId="0" fontId="9" fillId="0" borderId="11" xfId="0" applyFont="1" applyBorder="1" applyAlignment="1">
      <alignment horizontal="center" vertical="center"/>
    </xf>
    <xf numFmtId="0" fontId="19" fillId="0" borderId="21" xfId="0" applyFont="1" applyBorder="1" applyAlignment="1">
      <alignment horizontal="center" vertical="center"/>
    </xf>
    <xf numFmtId="10" fontId="9" fillId="5" borderId="30" xfId="0" applyNumberFormat="1" applyFont="1" applyFill="1" applyBorder="1" applyAlignment="1">
      <alignment horizontal="center" vertical="center"/>
    </xf>
    <xf numFmtId="43" fontId="9" fillId="5" borderId="30" xfId="0" applyNumberFormat="1" applyFont="1" applyFill="1" applyBorder="1" applyAlignment="1">
      <alignment horizontal="center" vertical="center"/>
    </xf>
    <xf numFmtId="43" fontId="24" fillId="0" borderId="21" xfId="0" applyNumberFormat="1" applyFont="1" applyBorder="1" applyAlignment="1">
      <alignment horizontal="center" vertical="center"/>
    </xf>
    <xf numFmtId="0" fontId="9" fillId="0" borderId="20" xfId="0" applyFont="1" applyBorder="1" applyAlignment="1">
      <alignment horizontal="center"/>
    </xf>
    <xf numFmtId="10" fontId="19" fillId="0" borderId="2" xfId="0" applyNumberFormat="1" applyFont="1" applyBorder="1" applyAlignment="1">
      <alignment horizontal="center"/>
    </xf>
    <xf numFmtId="0" fontId="19" fillId="0" borderId="21" xfId="0" applyFont="1" applyBorder="1" applyAlignment="1">
      <alignment horizontal="center"/>
    </xf>
    <xf numFmtId="43" fontId="19" fillId="0" borderId="1" xfId="0" applyNumberFormat="1" applyFont="1" applyBorder="1" applyAlignment="1">
      <alignment horizontal="center"/>
    </xf>
    <xf numFmtId="43" fontId="19" fillId="0" borderId="2" xfId="0" applyNumberFormat="1" applyFont="1" applyBorder="1" applyAlignment="1">
      <alignment horizontal="center"/>
    </xf>
    <xf numFmtId="0" fontId="19" fillId="0" borderId="9" xfId="0" applyFont="1" applyBorder="1" applyAlignment="1">
      <alignment horizontal="center"/>
    </xf>
    <xf numFmtId="43" fontId="19" fillId="0" borderId="19" xfId="0" applyNumberFormat="1" applyFont="1" applyBorder="1" applyAlignment="1">
      <alignment horizontal="center"/>
    </xf>
    <xf numFmtId="0" fontId="19" fillId="0" borderId="15" xfId="0" applyFont="1" applyBorder="1" applyAlignment="1">
      <alignment horizontal="center"/>
    </xf>
    <xf numFmtId="43" fontId="19" fillId="0" borderId="15" xfId="0" applyNumberFormat="1" applyFont="1" applyBorder="1" applyAlignment="1">
      <alignment horizontal="center"/>
    </xf>
    <xf numFmtId="44" fontId="9" fillId="16" borderId="2" xfId="43" applyNumberFormat="1" applyFont="1" applyFill="1" applyBorder="1" applyAlignment="1" applyProtection="1">
      <alignment horizontal="center" vertical="center"/>
      <protection locked="0"/>
    </xf>
    <xf numFmtId="0" fontId="17" fillId="4" borderId="2" xfId="43" applyFont="1" applyFill="1" applyBorder="1" applyAlignment="1" applyProtection="1">
      <alignment horizontal="center" vertical="center"/>
      <protection locked="0"/>
    </xf>
    <xf numFmtId="10" fontId="17" fillId="4" borderId="2" xfId="62" applyNumberFormat="1" applyFont="1" applyFill="1" applyBorder="1" applyAlignment="1" applyProtection="1">
      <alignment horizontal="center" vertical="center"/>
      <protection locked="0"/>
    </xf>
    <xf numFmtId="0" fontId="26" fillId="0" borderId="0" xfId="0" applyFont="1" applyAlignment="1">
      <alignment horizontal="center" vertical="center" wrapText="1"/>
    </xf>
    <xf numFmtId="0" fontId="9" fillId="0" borderId="0" xfId="0" applyFont="1" applyAlignment="1">
      <alignment horizontal="center" vertical="center" wrapText="1"/>
    </xf>
    <xf numFmtId="10" fontId="9" fillId="0" borderId="8" xfId="0" applyNumberFormat="1" applyFont="1" applyBorder="1" applyAlignment="1">
      <alignment horizontal="center" vertical="center"/>
    </xf>
    <xf numFmtId="40" fontId="26" fillId="0" borderId="0" xfId="0" applyNumberFormat="1" applyFont="1" applyAlignment="1">
      <alignment horizontal="center" vertical="center" wrapText="1"/>
    </xf>
    <xf numFmtId="40" fontId="9" fillId="0" borderId="0" xfId="0" applyNumberFormat="1" applyFont="1" applyAlignment="1">
      <alignment horizontal="center" vertical="center" wrapText="1"/>
    </xf>
    <xf numFmtId="40" fontId="9" fillId="7" borderId="8" xfId="0" applyNumberFormat="1" applyFont="1" applyFill="1" applyBorder="1" applyAlignment="1">
      <alignment horizontal="center" vertical="center" wrapText="1"/>
    </xf>
    <xf numFmtId="40" fontId="9" fillId="0" borderId="8" xfId="0" applyNumberFormat="1" applyFont="1" applyBorder="1" applyAlignment="1">
      <alignment horizontal="center" vertical="center" wrapText="1"/>
    </xf>
    <xf numFmtId="10" fontId="9" fillId="0" borderId="11" xfId="0" applyNumberFormat="1" applyFont="1" applyBorder="1" applyAlignment="1">
      <alignment horizontal="center" vertical="center"/>
    </xf>
    <xf numFmtId="40" fontId="10" fillId="16" borderId="35" xfId="0" applyNumberFormat="1" applyFont="1" applyFill="1" applyBorder="1" applyAlignment="1">
      <alignment horizontal="center" vertical="center"/>
    </xf>
    <xf numFmtId="40" fontId="9" fillId="0" borderId="0" xfId="0" applyNumberFormat="1" applyFont="1" applyAlignment="1">
      <alignment horizontal="center" vertical="center"/>
    </xf>
    <xf numFmtId="44" fontId="9" fillId="7" borderId="37" xfId="7" applyFont="1" applyFill="1" applyBorder="1" applyAlignment="1">
      <alignment horizontal="center" vertical="center"/>
    </xf>
    <xf numFmtId="44" fontId="9" fillId="0" borderId="38" xfId="7" applyFont="1" applyFill="1" applyBorder="1" applyAlignment="1">
      <alignment horizontal="center" vertical="center"/>
    </xf>
    <xf numFmtId="10" fontId="9" fillId="0" borderId="2" xfId="0" applyNumberFormat="1" applyFont="1" applyBorder="1" applyAlignment="1">
      <alignment horizontal="center" vertical="center"/>
    </xf>
    <xf numFmtId="40" fontId="26" fillId="0" borderId="0" xfId="0" applyNumberFormat="1" applyFont="1" applyAlignment="1">
      <alignment horizontal="center" vertical="center"/>
    </xf>
    <xf numFmtId="44" fontId="9" fillId="0" borderId="2" xfId="7" applyFont="1" applyFill="1" applyBorder="1" applyAlignment="1">
      <alignment horizontal="center" vertical="center"/>
    </xf>
    <xf numFmtId="44" fontId="9" fillId="0" borderId="11" xfId="7" applyFont="1" applyFill="1" applyBorder="1" applyAlignment="1">
      <alignment horizontal="center" vertical="center"/>
    </xf>
    <xf numFmtId="44" fontId="9" fillId="0" borderId="31" xfId="7" applyFont="1" applyFill="1" applyBorder="1" applyAlignment="1">
      <alignment horizontal="center" vertical="center"/>
    </xf>
    <xf numFmtId="10" fontId="9" fillId="0" borderId="31" xfId="0" applyNumberFormat="1" applyFont="1" applyBorder="1" applyAlignment="1">
      <alignment horizontal="center" vertical="center"/>
    </xf>
    <xf numFmtId="44" fontId="9" fillId="0" borderId="8" xfId="7" applyFont="1" applyFill="1" applyBorder="1" applyAlignment="1">
      <alignment horizontal="center" vertical="center"/>
    </xf>
    <xf numFmtId="44" fontId="24" fillId="7" borderId="39" xfId="7" applyFont="1" applyFill="1" applyBorder="1" applyAlignment="1">
      <alignment horizontal="center" vertical="center"/>
    </xf>
    <xf numFmtId="44" fontId="9" fillId="0" borderId="40" xfId="7" applyFont="1" applyFill="1" applyBorder="1" applyAlignment="1">
      <alignment horizontal="center" vertical="center"/>
    </xf>
    <xf numFmtId="44" fontId="12" fillId="0" borderId="31" xfId="7" applyFont="1" applyBorder="1" applyAlignment="1">
      <alignment horizontal="center" vertical="center"/>
    </xf>
    <xf numFmtId="44" fontId="9" fillId="0" borderId="41" xfId="7" applyFont="1" applyFill="1" applyBorder="1" applyAlignment="1">
      <alignment horizontal="center" vertical="center"/>
    </xf>
    <xf numFmtId="40" fontId="10" fillId="16" borderId="30" xfId="0" applyNumberFormat="1" applyFont="1" applyFill="1" applyBorder="1" applyAlignment="1">
      <alignment horizontal="center" vertical="center"/>
    </xf>
    <xf numFmtId="40" fontId="27" fillId="0" borderId="43" xfId="0" applyNumberFormat="1" applyFont="1" applyBorder="1" applyAlignment="1">
      <alignment horizontal="center" vertical="center"/>
    </xf>
    <xf numFmtId="40" fontId="8" fillId="0" borderId="42" xfId="0" applyNumberFormat="1" applyFont="1" applyBorder="1" applyAlignment="1">
      <alignment horizontal="center" vertical="center"/>
    </xf>
    <xf numFmtId="0" fontId="0" fillId="0" borderId="11" xfId="0" applyBorder="1" applyAlignment="1">
      <alignment horizontal="center" vertical="center"/>
    </xf>
    <xf numFmtId="40" fontId="9" fillId="0" borderId="2" xfId="0" applyNumberFormat="1" applyFont="1" applyBorder="1" applyAlignment="1">
      <alignment horizontal="center" vertical="center"/>
    </xf>
    <xf numFmtId="40" fontId="9" fillId="0" borderId="0" xfId="0" applyNumberFormat="1" applyFont="1" applyAlignment="1">
      <alignment horizontal="center"/>
    </xf>
    <xf numFmtId="0" fontId="22" fillId="0" borderId="13" xfId="43" applyFont="1" applyBorder="1" applyAlignment="1" applyProtection="1">
      <alignment horizontal="center" vertical="center"/>
      <protection locked="0"/>
    </xf>
    <xf numFmtId="40" fontId="10" fillId="0" borderId="0" xfId="0" applyNumberFormat="1" applyFont="1" applyAlignment="1">
      <alignment horizontal="center" vertical="center"/>
    </xf>
    <xf numFmtId="40" fontId="22" fillId="0" borderId="0" xfId="0" applyNumberFormat="1" applyFont="1" applyAlignment="1">
      <alignment horizontal="center"/>
    </xf>
    <xf numFmtId="40" fontId="19" fillId="0" borderId="0" xfId="0" applyNumberFormat="1" applyFont="1" applyAlignment="1">
      <alignment horizontal="center"/>
    </xf>
    <xf numFmtId="40" fontId="26" fillId="0" borderId="0" xfId="0" applyNumberFormat="1" applyFont="1" applyAlignment="1">
      <alignment horizontal="center"/>
    </xf>
    <xf numFmtId="44" fontId="28" fillId="0" borderId="0" xfId="43" applyNumberFormat="1" applyFont="1" applyAlignment="1" applyProtection="1">
      <alignment horizontal="center" vertical="center"/>
      <protection locked="0"/>
    </xf>
    <xf numFmtId="165" fontId="28" fillId="0" borderId="0" xfId="43" applyNumberFormat="1" applyFont="1" applyAlignment="1" applyProtection="1">
      <alignment horizontal="center" vertical="center"/>
      <protection locked="0"/>
    </xf>
    <xf numFmtId="0" fontId="29" fillId="0" borderId="0" xfId="43"/>
    <xf numFmtId="0" fontId="30" fillId="17" borderId="2" xfId="28" applyFont="1" applyFill="1" applyBorder="1" applyAlignment="1">
      <alignment horizontal="center" vertical="center" wrapText="1"/>
    </xf>
    <xf numFmtId="44" fontId="30" fillId="16" borderId="2" xfId="7" applyFont="1" applyFill="1" applyBorder="1" applyAlignment="1">
      <alignment horizontal="center" vertical="center" wrapText="1"/>
    </xf>
    <xf numFmtId="10" fontId="30" fillId="16" borderId="2" xfId="28" applyNumberFormat="1" applyFont="1" applyFill="1" applyBorder="1" applyAlignment="1">
      <alignment horizontal="center" vertical="center" wrapText="1"/>
    </xf>
    <xf numFmtId="10" fontId="32" fillId="18" borderId="2" xfId="28" applyNumberFormat="1" applyFont="1" applyFill="1" applyBorder="1" applyAlignment="1">
      <alignment horizontal="center" vertical="center" wrapText="1"/>
    </xf>
    <xf numFmtId="0" fontId="32" fillId="0" borderId="2" xfId="28" applyFont="1" applyBorder="1" applyAlignment="1">
      <alignment horizontal="center" vertical="center" wrapText="1"/>
    </xf>
    <xf numFmtId="165" fontId="21" fillId="19" borderId="2" xfId="7" applyNumberFormat="1" applyFont="1" applyFill="1" applyBorder="1" applyAlignment="1">
      <alignment horizontal="center" vertical="center" wrapText="1"/>
    </xf>
    <xf numFmtId="0" fontId="21" fillId="0" borderId="2" xfId="43" applyFont="1" applyBorder="1" applyAlignment="1">
      <alignment horizontal="center" vertical="center" wrapText="1"/>
    </xf>
    <xf numFmtId="1" fontId="29" fillId="0" borderId="0" xfId="43" applyNumberFormat="1"/>
    <xf numFmtId="0" fontId="43" fillId="0" borderId="2" xfId="43" applyFont="1" applyBorder="1" applyAlignment="1">
      <alignment horizontal="left" vertical="center"/>
    </xf>
    <xf numFmtId="0" fontId="43" fillId="0" borderId="47" xfId="43" applyFont="1" applyBorder="1" applyAlignment="1">
      <alignment horizontal="center" vertical="center" wrapText="1"/>
    </xf>
    <xf numFmtId="0" fontId="43" fillId="0" borderId="48" xfId="43" applyFont="1" applyBorder="1" applyAlignment="1">
      <alignment horizontal="left" vertical="center" wrapText="1"/>
    </xf>
    <xf numFmtId="10" fontId="43" fillId="0" borderId="49" xfId="43" applyNumberFormat="1" applyFont="1" applyBorder="1" applyAlignment="1">
      <alignment horizontal="center" vertical="center" wrapText="1"/>
    </xf>
    <xf numFmtId="44" fontId="43" fillId="0" borderId="2" xfId="7" applyFont="1" applyBorder="1" applyAlignment="1">
      <alignment horizontal="center" vertical="center" wrapText="1"/>
    </xf>
    <xf numFmtId="0" fontId="19" fillId="0" borderId="2" xfId="43" applyFont="1" applyBorder="1" applyAlignment="1">
      <alignment horizontal="center" vertical="center"/>
    </xf>
    <xf numFmtId="0" fontId="19" fillId="0" borderId="0" xfId="43" applyFont="1" applyAlignment="1">
      <alignment horizontal="center" vertical="center"/>
    </xf>
    <xf numFmtId="0" fontId="19" fillId="0" borderId="0" xfId="43" applyFont="1"/>
    <xf numFmtId="0" fontId="65" fillId="28" borderId="46" xfId="43" applyFont="1" applyFill="1" applyBorder="1" applyAlignment="1" applyProtection="1">
      <alignment horizontal="center" vertical="center" wrapText="1"/>
      <protection locked="0"/>
    </xf>
    <xf numFmtId="0" fontId="19" fillId="0" borderId="46" xfId="43" applyFont="1" applyBorder="1" applyAlignment="1">
      <alignment horizontal="center" vertical="center" wrapText="1"/>
    </xf>
    <xf numFmtId="0" fontId="9" fillId="0" borderId="0" xfId="43" applyFont="1" applyAlignment="1" applyProtection="1">
      <alignment horizontal="center" vertical="center"/>
      <protection locked="0"/>
    </xf>
    <xf numFmtId="0" fontId="9" fillId="28" borderId="2" xfId="43" applyFont="1" applyFill="1" applyBorder="1" applyAlignment="1">
      <alignment horizontal="center" vertical="center"/>
    </xf>
    <xf numFmtId="0" fontId="65" fillId="0" borderId="3" xfId="43" applyFont="1" applyBorder="1" applyAlignment="1">
      <alignment horizontal="right" vertical="center" wrapText="1"/>
    </xf>
    <xf numFmtId="0" fontId="65" fillId="0" borderId="0" xfId="43" applyFont="1" applyAlignment="1">
      <alignment horizontal="right" vertical="center" wrapText="1"/>
    </xf>
    <xf numFmtId="165" fontId="9" fillId="28" borderId="46" xfId="43" applyNumberFormat="1" applyFont="1" applyFill="1" applyBorder="1" applyAlignment="1" applyProtection="1">
      <alignment horizontal="center" vertical="center"/>
      <protection locked="0"/>
    </xf>
    <xf numFmtId="165" fontId="9" fillId="0" borderId="0" xfId="43" applyNumberFormat="1" applyFont="1" applyAlignment="1" applyProtection="1">
      <alignment horizontal="center" vertical="center"/>
      <protection locked="0"/>
    </xf>
    <xf numFmtId="0" fontId="6" fillId="0" borderId="3" xfId="52" applyFont="1" applyBorder="1" applyAlignment="1">
      <alignment horizontal="center" vertical="center" wrapText="1"/>
    </xf>
    <xf numFmtId="0" fontId="4" fillId="0" borderId="3" xfId="52" applyFont="1" applyBorder="1" applyAlignment="1">
      <alignment horizontal="center" vertical="center" wrapText="1"/>
    </xf>
    <xf numFmtId="169" fontId="4" fillId="0" borderId="15" xfId="52" applyNumberFormat="1" applyFont="1" applyBorder="1" applyAlignment="1">
      <alignment horizontal="center" vertical="center"/>
    </xf>
    <xf numFmtId="44" fontId="4" fillId="0" borderId="15" xfId="52" applyNumberFormat="1" applyFont="1" applyBorder="1" applyAlignment="1">
      <alignment horizontal="center" vertical="center"/>
    </xf>
    <xf numFmtId="10" fontId="5" fillId="4" borderId="2" xfId="52" applyNumberFormat="1" applyFont="1" applyFill="1" applyBorder="1" applyAlignment="1">
      <alignment horizontal="center" vertical="center"/>
    </xf>
    <xf numFmtId="169" fontId="4" fillId="0" borderId="8" xfId="52" applyNumberFormat="1" applyFont="1" applyBorder="1" applyAlignment="1">
      <alignment horizontal="center" vertical="center"/>
    </xf>
    <xf numFmtId="44" fontId="4" fillId="0" borderId="8" xfId="52" applyNumberFormat="1" applyFont="1" applyBorder="1" applyAlignment="1">
      <alignment horizontal="center" vertical="center"/>
    </xf>
    <xf numFmtId="10" fontId="5" fillId="13" borderId="2" xfId="52" applyNumberFormat="1" applyFont="1" applyFill="1" applyBorder="1" applyAlignment="1">
      <alignment horizontal="center" vertical="center"/>
    </xf>
    <xf numFmtId="44" fontId="9" fillId="15" borderId="2" xfId="43" applyNumberFormat="1" applyFont="1" applyFill="1" applyBorder="1" applyAlignment="1" applyProtection="1">
      <alignment horizontal="center" vertical="center"/>
      <protection locked="0"/>
    </xf>
    <xf numFmtId="0" fontId="9" fillId="0" borderId="2" xfId="46" applyFont="1" applyBorder="1" applyAlignment="1">
      <alignment horizontal="center" vertical="center"/>
    </xf>
    <xf numFmtId="0" fontId="19" fillId="0" borderId="2" xfId="46" applyFont="1" applyBorder="1" applyAlignment="1">
      <alignment horizontal="center" vertical="center"/>
    </xf>
    <xf numFmtId="10" fontId="19" fillId="0" borderId="2" xfId="46" applyNumberFormat="1" applyFont="1" applyBorder="1"/>
    <xf numFmtId="44" fontId="19" fillId="0" borderId="2" xfId="46" applyNumberFormat="1" applyFont="1" applyBorder="1" applyAlignment="1">
      <alignment horizontal="center" vertical="center"/>
    </xf>
    <xf numFmtId="10" fontId="19" fillId="0" borderId="2" xfId="46" applyNumberFormat="1" applyFont="1" applyBorder="1" applyAlignment="1">
      <alignment horizontal="center" vertical="center"/>
    </xf>
    <xf numFmtId="44" fontId="9" fillId="0" borderId="2" xfId="46" applyNumberFormat="1" applyFont="1" applyBorder="1" applyAlignment="1">
      <alignment horizontal="center" vertical="center"/>
    </xf>
    <xf numFmtId="10" fontId="19" fillId="0" borderId="8" xfId="46" applyNumberFormat="1" applyFont="1" applyBorder="1" applyAlignment="1">
      <alignment horizontal="center" vertical="center"/>
    </xf>
    <xf numFmtId="44" fontId="9" fillId="0" borderId="8" xfId="46" applyNumberFormat="1" applyFont="1" applyBorder="1" applyAlignment="1">
      <alignment horizontal="center" vertical="center"/>
    </xf>
    <xf numFmtId="44" fontId="9" fillId="27" borderId="40" xfId="46" applyNumberFormat="1" applyFont="1" applyFill="1" applyBorder="1" applyAlignment="1">
      <alignment horizontal="center" vertical="center"/>
    </xf>
    <xf numFmtId="44" fontId="9" fillId="27" borderId="33" xfId="46" applyNumberFormat="1" applyFont="1" applyFill="1" applyBorder="1" applyAlignment="1">
      <alignment horizontal="center" vertical="center"/>
    </xf>
    <xf numFmtId="44" fontId="9" fillId="21" borderId="40" xfId="46" applyNumberFormat="1" applyFont="1" applyFill="1" applyBorder="1" applyAlignment="1">
      <alignment horizontal="center" vertical="center"/>
    </xf>
    <xf numFmtId="44" fontId="9" fillId="21" borderId="33" xfId="46" applyNumberFormat="1" applyFont="1" applyFill="1" applyBorder="1" applyAlignment="1">
      <alignment horizontal="center" vertical="center"/>
    </xf>
    <xf numFmtId="44" fontId="9" fillId="11" borderId="30" xfId="46" applyNumberFormat="1" applyFont="1" applyFill="1" applyBorder="1" applyAlignment="1">
      <alignment horizontal="center" vertical="center"/>
    </xf>
    <xf numFmtId="0" fontId="12" fillId="0" borderId="2" xfId="44" applyFont="1" applyBorder="1" applyAlignment="1">
      <alignment horizontal="center" vertical="center"/>
    </xf>
    <xf numFmtId="0" fontId="36" fillId="0" borderId="0" xfId="44"/>
    <xf numFmtId="0" fontId="26" fillId="0" borderId="0" xfId="46" applyFont="1" applyAlignment="1">
      <alignment horizontal="center"/>
    </xf>
    <xf numFmtId="44" fontId="22" fillId="0" borderId="0" xfId="46" applyNumberFormat="1" applyFont="1" applyAlignment="1">
      <alignment horizontal="center" vertical="center"/>
    </xf>
    <xf numFmtId="44" fontId="22" fillId="0" borderId="0" xfId="46" applyNumberFormat="1" applyFont="1" applyAlignment="1">
      <alignment horizontal="center"/>
    </xf>
    <xf numFmtId="44" fontId="26" fillId="0" borderId="3" xfId="46" applyNumberFormat="1" applyFont="1" applyBorder="1" applyAlignment="1">
      <alignment horizontal="center" vertical="center"/>
    </xf>
    <xf numFmtId="44" fontId="22" fillId="0" borderId="3" xfId="46" applyNumberFormat="1" applyFont="1" applyBorder="1" applyAlignment="1">
      <alignment horizontal="center" vertical="center"/>
    </xf>
    <xf numFmtId="44" fontId="26" fillId="0" borderId="59" xfId="46" applyNumberFormat="1" applyFont="1" applyBorder="1" applyAlignment="1">
      <alignment horizontal="center" vertical="center"/>
    </xf>
    <xf numFmtId="44" fontId="9" fillId="0" borderId="60" xfId="46" applyNumberFormat="1" applyFont="1" applyBorder="1" applyAlignment="1">
      <alignment horizontal="center" vertical="center"/>
    </xf>
    <xf numFmtId="44" fontId="19" fillId="0" borderId="60" xfId="46" applyNumberFormat="1" applyFont="1" applyBorder="1" applyAlignment="1">
      <alignment horizontal="center" vertical="center"/>
    </xf>
    <xf numFmtId="0" fontId="22" fillId="0" borderId="0" xfId="44" applyFont="1" applyAlignment="1">
      <alignment horizontal="center" vertical="center"/>
    </xf>
    <xf numFmtId="10" fontId="22" fillId="0" borderId="0" xfId="44" applyNumberFormat="1" applyFont="1" applyAlignment="1">
      <alignment horizontal="center" vertical="center"/>
    </xf>
    <xf numFmtId="0" fontId="19" fillId="0" borderId="0" xfId="0" applyFont="1"/>
    <xf numFmtId="0" fontId="12" fillId="0" borderId="0" xfId="0" applyFont="1"/>
    <xf numFmtId="0" fontId="12" fillId="0" borderId="0" xfId="0" applyFont="1" applyAlignment="1">
      <alignment horizontal="center"/>
    </xf>
    <xf numFmtId="0" fontId="68" fillId="19" borderId="63" xfId="0" applyFont="1" applyFill="1" applyBorder="1" applyAlignment="1">
      <alignment horizontal="center" vertical="center"/>
    </xf>
    <xf numFmtId="0" fontId="68" fillId="28" borderId="8" xfId="0" applyFont="1" applyFill="1" applyBorder="1" applyAlignment="1">
      <alignment horizontal="center" vertical="center" wrapText="1"/>
    </xf>
    <xf numFmtId="0" fontId="68" fillId="28" borderId="2" xfId="0" applyFont="1" applyFill="1" applyBorder="1" applyAlignment="1">
      <alignment horizontal="center" vertical="center" wrapText="1"/>
    </xf>
    <xf numFmtId="0" fontId="68" fillId="19" borderId="66" xfId="0" applyFont="1" applyFill="1" applyBorder="1" applyAlignment="1">
      <alignment horizontal="center" vertical="center"/>
    </xf>
    <xf numFmtId="44" fontId="69" fillId="19" borderId="36" xfId="0" applyNumberFormat="1" applyFont="1" applyFill="1" applyBorder="1" applyAlignment="1">
      <alignment horizontal="center" vertical="center"/>
    </xf>
    <xf numFmtId="44" fontId="59" fillId="31" borderId="36" xfId="0" applyNumberFormat="1" applyFont="1" applyFill="1" applyBorder="1" applyAlignment="1">
      <alignment horizontal="center" vertical="center"/>
    </xf>
    <xf numFmtId="0" fontId="68" fillId="19" borderId="61" xfId="0" applyFont="1" applyFill="1" applyBorder="1" applyAlignment="1">
      <alignment horizontal="center" vertical="center"/>
    </xf>
    <xf numFmtId="44" fontId="59" fillId="31" borderId="2" xfId="0" applyNumberFormat="1" applyFont="1" applyFill="1" applyBorder="1" applyAlignment="1">
      <alignment horizontal="center" vertical="center"/>
    </xf>
    <xf numFmtId="44" fontId="59" fillId="19" borderId="2" xfId="0" applyNumberFormat="1" applyFont="1" applyFill="1" applyBorder="1" applyAlignment="1">
      <alignment horizontal="center" vertical="center"/>
    </xf>
    <xf numFmtId="44" fontId="69" fillId="19" borderId="2" xfId="0" applyNumberFormat="1" applyFont="1" applyFill="1" applyBorder="1" applyAlignment="1">
      <alignment horizontal="center" vertical="center"/>
    </xf>
    <xf numFmtId="0" fontId="68" fillId="19" borderId="67" xfId="0" applyFont="1" applyFill="1" applyBorder="1" applyAlignment="1">
      <alignment horizontal="center" vertical="center"/>
    </xf>
    <xf numFmtId="44" fontId="59" fillId="31" borderId="15" xfId="0" applyNumberFormat="1" applyFont="1" applyFill="1" applyBorder="1" applyAlignment="1">
      <alignment horizontal="center" vertical="center"/>
    </xf>
    <xf numFmtId="44" fontId="59" fillId="19" borderId="15" xfId="0" applyNumberFormat="1" applyFont="1" applyFill="1" applyBorder="1" applyAlignment="1">
      <alignment horizontal="center" vertical="center"/>
    </xf>
    <xf numFmtId="44" fontId="69" fillId="19" borderId="15" xfId="0" applyNumberFormat="1" applyFont="1" applyFill="1" applyBorder="1" applyAlignment="1">
      <alignment horizontal="center" vertical="center"/>
    </xf>
    <xf numFmtId="0" fontId="9" fillId="23" borderId="2" xfId="0" applyFont="1" applyFill="1" applyBorder="1" applyAlignment="1">
      <alignment horizontal="center" vertical="center"/>
    </xf>
    <xf numFmtId="0" fontId="9" fillId="23" borderId="2" xfId="0" applyFont="1" applyFill="1" applyBorder="1" applyAlignment="1">
      <alignment horizontal="center" vertical="center" wrapText="1"/>
    </xf>
    <xf numFmtId="0" fontId="26" fillId="28" borderId="2" xfId="0" applyFont="1" applyFill="1" applyBorder="1" applyAlignment="1">
      <alignment horizontal="center" vertical="center" wrapText="1"/>
    </xf>
    <xf numFmtId="0" fontId="26" fillId="0" borderId="11" xfId="0" applyFont="1" applyBorder="1" applyAlignment="1">
      <alignment horizontal="center" vertical="center" wrapText="1"/>
    </xf>
    <xf numFmtId="44" fontId="9" fillId="20" borderId="11" xfId="0" applyNumberFormat="1" applyFont="1" applyFill="1" applyBorder="1" applyAlignment="1">
      <alignment horizontal="center" vertical="center"/>
    </xf>
    <xf numFmtId="44" fontId="70" fillId="32" borderId="11" xfId="0" applyNumberFormat="1" applyFont="1" applyFill="1" applyBorder="1" applyAlignment="1">
      <alignment horizontal="center" vertical="center"/>
    </xf>
    <xf numFmtId="44" fontId="19" fillId="33" borderId="11" xfId="0" applyNumberFormat="1" applyFont="1" applyFill="1" applyBorder="1" applyAlignment="1">
      <alignment horizontal="center" vertical="center"/>
    </xf>
    <xf numFmtId="0" fontId="26" fillId="21" borderId="11" xfId="0" applyFont="1" applyFill="1" applyBorder="1" applyAlignment="1">
      <alignment horizontal="center" vertical="center" wrapText="1"/>
    </xf>
    <xf numFmtId="44" fontId="19" fillId="32" borderId="11" xfId="0" applyNumberFormat="1" applyFont="1" applyFill="1" applyBorder="1" applyAlignment="1">
      <alignment horizontal="center" vertical="center"/>
    </xf>
    <xf numFmtId="0" fontId="19" fillId="0" borderId="0" xfId="0" applyFont="1" applyAlignment="1">
      <alignment horizontal="center"/>
    </xf>
    <xf numFmtId="44" fontId="19" fillId="0" borderId="0" xfId="0" applyNumberFormat="1" applyFont="1" applyAlignment="1">
      <alignment horizontal="center"/>
    </xf>
    <xf numFmtId="0" fontId="9" fillId="28" borderId="2" xfId="43" applyFont="1" applyFill="1" applyBorder="1" applyAlignment="1">
      <alignment horizontal="center" vertical="center" wrapText="1"/>
    </xf>
    <xf numFmtId="0" fontId="9" fillId="0" borderId="3" xfId="43" applyFont="1" applyBorder="1" applyAlignment="1">
      <alignment vertical="center" wrapText="1"/>
    </xf>
    <xf numFmtId="0" fontId="9" fillId="0" borderId="0" xfId="43" applyFont="1" applyAlignment="1">
      <alignment vertical="center" wrapText="1"/>
    </xf>
    <xf numFmtId="10" fontId="21" fillId="0" borderId="0" xfId="43" applyNumberFormat="1" applyFont="1" applyAlignment="1">
      <alignment horizontal="center" vertical="center"/>
    </xf>
    <xf numFmtId="0" fontId="68" fillId="4" borderId="15" xfId="0" applyFont="1" applyFill="1" applyBorder="1" applyAlignment="1">
      <alignment horizontal="justify" vertical="center" wrapText="1"/>
    </xf>
    <xf numFmtId="0" fontId="68" fillId="5" borderId="8" xfId="0" applyFont="1" applyFill="1" applyBorder="1" applyAlignment="1">
      <alignment horizontal="center" vertical="center"/>
    </xf>
    <xf numFmtId="44" fontId="68" fillId="19" borderId="71" xfId="0" applyNumberFormat="1" applyFont="1" applyFill="1" applyBorder="1" applyAlignment="1">
      <alignment horizontal="center" vertical="center"/>
    </xf>
    <xf numFmtId="44" fontId="59" fillId="4" borderId="36" xfId="0" applyNumberFormat="1" applyFont="1" applyFill="1" applyBorder="1" applyAlignment="1">
      <alignment horizontal="center" vertical="center"/>
    </xf>
    <xf numFmtId="44" fontId="59" fillId="5" borderId="72" xfId="0" applyNumberFormat="1" applyFont="1" applyFill="1" applyBorder="1" applyAlignment="1">
      <alignment horizontal="center" vertical="center"/>
    </xf>
    <xf numFmtId="44" fontId="71" fillId="19" borderId="64" xfId="0" applyNumberFormat="1" applyFont="1" applyFill="1" applyBorder="1" applyAlignment="1">
      <alignment horizontal="center" vertical="center"/>
    </xf>
    <xf numFmtId="44" fontId="69" fillId="19" borderId="8" xfId="0" applyNumberFormat="1" applyFont="1" applyFill="1" applyBorder="1" applyAlignment="1">
      <alignment horizontal="center" vertical="center"/>
    </xf>
    <xf numFmtId="44" fontId="69" fillId="19" borderId="32" xfId="0" applyNumberFormat="1" applyFont="1" applyFill="1" applyBorder="1" applyAlignment="1">
      <alignment horizontal="center" vertical="center"/>
    </xf>
    <xf numFmtId="44" fontId="59" fillId="4" borderId="2" xfId="0" applyNumberFormat="1" applyFont="1" applyFill="1" applyBorder="1" applyAlignment="1">
      <alignment horizontal="center" vertical="center"/>
    </xf>
    <xf numFmtId="44" fontId="59" fillId="5" borderId="20" xfId="0" applyNumberFormat="1" applyFont="1" applyFill="1" applyBorder="1" applyAlignment="1">
      <alignment horizontal="center" vertical="center"/>
    </xf>
    <xf numFmtId="44" fontId="59" fillId="19" borderId="62" xfId="0" applyNumberFormat="1" applyFont="1" applyFill="1" applyBorder="1" applyAlignment="1">
      <alignment horizontal="center" vertical="center"/>
    </xf>
    <xf numFmtId="44" fontId="69" fillId="19" borderId="9" xfId="0" applyNumberFormat="1" applyFont="1" applyFill="1" applyBorder="1" applyAlignment="1">
      <alignment horizontal="center" vertical="center"/>
    </xf>
    <xf numFmtId="44" fontId="59" fillId="4" borderId="11" xfId="0" applyNumberFormat="1" applyFont="1" applyFill="1" applyBorder="1" applyAlignment="1">
      <alignment horizontal="center" vertical="center"/>
    </xf>
    <xf numFmtId="44" fontId="71" fillId="19" borderId="62" xfId="0" applyNumberFormat="1" applyFont="1" applyFill="1" applyBorder="1" applyAlignment="1">
      <alignment horizontal="center" vertical="center"/>
    </xf>
    <xf numFmtId="44" fontId="69" fillId="19" borderId="73" xfId="0" applyNumberFormat="1" applyFont="1" applyFill="1" applyBorder="1" applyAlignment="1">
      <alignment horizontal="center" vertical="center"/>
    </xf>
    <xf numFmtId="44" fontId="59" fillId="4" borderId="15" xfId="0" applyNumberFormat="1" applyFont="1" applyFill="1" applyBorder="1" applyAlignment="1">
      <alignment horizontal="center" vertical="center"/>
    </xf>
    <xf numFmtId="44" fontId="59" fillId="5" borderId="74" xfId="0" applyNumberFormat="1" applyFont="1" applyFill="1" applyBorder="1" applyAlignment="1">
      <alignment horizontal="center" vertical="center"/>
    </xf>
    <xf numFmtId="44" fontId="59" fillId="19" borderId="65" xfId="0" applyNumberFormat="1" applyFont="1" applyFill="1" applyBorder="1" applyAlignment="1">
      <alignment horizontal="center" vertical="center"/>
    </xf>
    <xf numFmtId="0" fontId="26" fillId="28" borderId="8" xfId="0" applyFont="1" applyFill="1" applyBorder="1" applyAlignment="1">
      <alignment horizontal="center" vertical="center" wrapText="1"/>
    </xf>
    <xf numFmtId="0" fontId="26" fillId="23" borderId="2" xfId="0" applyFont="1" applyFill="1" applyBorder="1" applyAlignment="1">
      <alignment horizontal="center" vertical="center" wrapText="1"/>
    </xf>
    <xf numFmtId="44" fontId="19" fillId="19" borderId="11" xfId="0" applyNumberFormat="1" applyFont="1" applyFill="1" applyBorder="1" applyAlignment="1">
      <alignment horizontal="center" vertical="center"/>
    </xf>
    <xf numFmtId="44" fontId="19" fillId="19" borderId="2" xfId="0" applyNumberFormat="1" applyFont="1" applyFill="1" applyBorder="1" applyAlignment="1">
      <alignment horizontal="center" vertical="center"/>
    </xf>
    <xf numFmtId="44" fontId="19" fillId="0" borderId="0" xfId="0" applyNumberFormat="1" applyFont="1" applyAlignment="1">
      <alignment vertical="center"/>
    </xf>
    <xf numFmtId="44" fontId="12" fillId="0" borderId="0" xfId="0" applyNumberFormat="1" applyFont="1" applyAlignment="1">
      <alignment horizontal="center" vertical="center"/>
    </xf>
    <xf numFmtId="44" fontId="19" fillId="0" borderId="11" xfId="0" applyNumberFormat="1" applyFont="1" applyBorder="1" applyAlignment="1">
      <alignment vertical="center"/>
    </xf>
    <xf numFmtId="44" fontId="19" fillId="0" borderId="2" xfId="0" applyNumberFormat="1" applyFont="1" applyBorder="1" applyAlignment="1">
      <alignment vertical="center"/>
    </xf>
    <xf numFmtId="44" fontId="72" fillId="0" borderId="2" xfId="0" applyNumberFormat="1" applyFont="1" applyBorder="1" applyAlignment="1">
      <alignment vertical="center"/>
    </xf>
    <xf numFmtId="44" fontId="70" fillId="0" borderId="2" xfId="0" applyNumberFormat="1" applyFont="1" applyBorder="1" applyAlignment="1">
      <alignment vertical="center"/>
    </xf>
    <xf numFmtId="0" fontId="9" fillId="0" borderId="2" xfId="43" applyFont="1" applyBorder="1" applyAlignment="1">
      <alignment horizontal="center" vertical="center" wrapText="1"/>
    </xf>
    <xf numFmtId="165" fontId="22" fillId="0" borderId="0" xfId="43" applyNumberFormat="1" applyFont="1" applyAlignment="1" applyProtection="1">
      <alignment horizontal="center" vertical="center"/>
      <protection locked="0"/>
    </xf>
    <xf numFmtId="0" fontId="22" fillId="0" borderId="0" xfId="59" applyFont="1">
      <alignment vertical="center"/>
    </xf>
    <xf numFmtId="0" fontId="73" fillId="0" borderId="0" xfId="59">
      <alignment vertical="center"/>
    </xf>
    <xf numFmtId="0" fontId="22" fillId="0" borderId="0" xfId="61" applyNumberFormat="1" applyFont="1" applyFill="1" applyBorder="1" applyAlignment="1">
      <alignment vertical="center"/>
    </xf>
    <xf numFmtId="0" fontId="22" fillId="0" borderId="0" xfId="5" applyNumberFormat="1" applyFont="1" applyFill="1" applyBorder="1" applyAlignment="1">
      <alignment vertical="center"/>
    </xf>
    <xf numFmtId="0" fontId="22" fillId="0" borderId="0" xfId="59" applyFont="1" applyAlignment="1">
      <alignment vertical="center" shrinkToFit="1"/>
    </xf>
    <xf numFmtId="0" fontId="22" fillId="0" borderId="0" xfId="59" applyFont="1" applyAlignment="1">
      <alignment horizontal="left" vertical="center" shrinkToFit="1"/>
    </xf>
    <xf numFmtId="0" fontId="22" fillId="0" borderId="0" xfId="59" applyFont="1" applyAlignment="1">
      <alignment horizontal="center" vertical="center" shrinkToFit="1"/>
    </xf>
    <xf numFmtId="10" fontId="22" fillId="0" borderId="0" xfId="59" applyNumberFormat="1" applyFont="1">
      <alignment vertical="center"/>
    </xf>
    <xf numFmtId="0" fontId="61" fillId="18" borderId="2" xfId="39" applyFont="1" applyFill="1" applyBorder="1" applyAlignment="1">
      <alignment horizontal="center" vertical="center" wrapText="1"/>
    </xf>
    <xf numFmtId="0" fontId="22" fillId="0" borderId="2" xfId="39" applyFont="1" applyBorder="1" applyAlignment="1">
      <alignment horizontal="center" vertical="center" wrapText="1"/>
    </xf>
    <xf numFmtId="0" fontId="61" fillId="18" borderId="8" xfId="39" applyFont="1" applyFill="1" applyBorder="1" applyAlignment="1">
      <alignment horizontal="center" vertical="center" wrapText="1"/>
    </xf>
    <xf numFmtId="0" fontId="22" fillId="0" borderId="21" xfId="59" applyFont="1" applyBorder="1" applyAlignment="1">
      <alignment vertical="center" shrinkToFit="1"/>
    </xf>
    <xf numFmtId="0" fontId="22" fillId="0" borderId="19" xfId="55" applyFont="1" applyBorder="1">
      <alignment vertical="center"/>
    </xf>
    <xf numFmtId="0" fontId="22" fillId="0" borderId="0" xfId="55" applyFont="1">
      <alignment vertical="center"/>
    </xf>
    <xf numFmtId="0" fontId="22" fillId="0" borderId="3" xfId="59" applyFont="1" applyBorder="1" applyAlignment="1">
      <alignment horizontal="justify" vertical="center" wrapText="1"/>
    </xf>
    <xf numFmtId="0" fontId="22" fillId="0" borderId="1" xfId="55" applyFont="1" applyBorder="1">
      <alignment vertical="center"/>
    </xf>
    <xf numFmtId="0" fontId="22" fillId="0" borderId="9" xfId="59" applyFont="1" applyBorder="1">
      <alignment vertical="center"/>
    </xf>
    <xf numFmtId="0" fontId="26" fillId="0" borderId="9" xfId="59" applyFont="1" applyBorder="1">
      <alignment vertical="center"/>
    </xf>
    <xf numFmtId="0" fontId="26" fillId="0" borderId="19" xfId="55" applyFont="1" applyBorder="1">
      <alignment vertical="center"/>
    </xf>
    <xf numFmtId="0" fontId="22" fillId="0" borderId="2" xfId="59" applyFont="1" applyBorder="1" applyAlignment="1">
      <alignment horizontal="center" vertical="center"/>
    </xf>
    <xf numFmtId="0" fontId="22" fillId="0" borderId="1" xfId="55" applyFont="1" applyBorder="1" applyAlignment="1">
      <alignment horizontal="justify" vertical="center" wrapText="1"/>
    </xf>
    <xf numFmtId="0" fontId="22" fillId="0" borderId="45" xfId="55" applyFont="1" applyBorder="1" applyAlignment="1">
      <alignment horizontal="justify" vertical="center" wrapText="1"/>
    </xf>
    <xf numFmtId="0" fontId="26" fillId="0" borderId="13" xfId="55" applyFont="1" applyBorder="1">
      <alignment vertical="center"/>
    </xf>
    <xf numFmtId="0" fontId="22" fillId="0" borderId="21" xfId="67" applyNumberFormat="1" applyFont="1" applyFill="1" applyBorder="1" applyAlignment="1">
      <alignment horizontal="center" vertical="center"/>
    </xf>
    <xf numFmtId="0" fontId="22" fillId="0" borderId="44" xfId="59" applyFont="1" applyBorder="1">
      <alignment vertical="center"/>
    </xf>
    <xf numFmtId="0" fontId="22" fillId="0" borderId="0" xfId="59" applyFont="1" applyAlignment="1">
      <alignment horizontal="justify" vertical="center" wrapText="1"/>
    </xf>
    <xf numFmtId="0" fontId="22" fillId="7" borderId="1" xfId="67" applyNumberFormat="1" applyFont="1" applyFill="1" applyBorder="1" applyAlignment="1">
      <alignment horizontal="center" vertical="center"/>
    </xf>
    <xf numFmtId="0" fontId="22" fillId="7" borderId="1" xfId="55" applyFont="1" applyFill="1" applyBorder="1" applyAlignment="1">
      <alignment horizontal="center" vertical="center"/>
    </xf>
    <xf numFmtId="0" fontId="22" fillId="0" borderId="1" xfId="5" applyNumberFormat="1" applyFont="1" applyFill="1" applyBorder="1" applyAlignment="1">
      <alignment horizontal="center" vertical="center"/>
    </xf>
    <xf numFmtId="0" fontId="22" fillId="0" borderId="1" xfId="55" applyFont="1" applyBorder="1" applyAlignment="1">
      <alignment horizontal="center" vertical="center"/>
    </xf>
    <xf numFmtId="0" fontId="22" fillId="0" borderId="1" xfId="59" applyFont="1" applyBorder="1">
      <alignment vertical="center"/>
    </xf>
    <xf numFmtId="10" fontId="22" fillId="7" borderId="1" xfId="55" applyNumberFormat="1" applyFont="1" applyFill="1" applyBorder="1">
      <alignment vertical="center"/>
    </xf>
    <xf numFmtId="0" fontId="22" fillId="0" borderId="0" xfId="55" applyFont="1" applyAlignment="1">
      <alignment horizontal="justify" vertical="center" wrapText="1"/>
    </xf>
    <xf numFmtId="0" fontId="22" fillId="0" borderId="1" xfId="55" applyFont="1" applyBorder="1" applyAlignment="1">
      <alignment vertical="center" shrinkToFit="1"/>
    </xf>
    <xf numFmtId="0" fontId="22" fillId="0" borderId="45" xfId="55" applyFont="1" applyBorder="1" applyAlignment="1">
      <alignment vertical="center" shrinkToFit="1"/>
    </xf>
    <xf numFmtId="0" fontId="22" fillId="0" borderId="42" xfId="59" applyFont="1" applyBorder="1" applyAlignment="1">
      <alignment horizontal="justify" vertical="center" wrapText="1"/>
    </xf>
    <xf numFmtId="0" fontId="22" fillId="0" borderId="45" xfId="59" applyFont="1" applyBorder="1">
      <alignment vertical="center"/>
    </xf>
    <xf numFmtId="10" fontId="22" fillId="7" borderId="19" xfId="55" applyNumberFormat="1" applyFont="1" applyFill="1" applyBorder="1" applyAlignment="1">
      <alignment horizontal="center" vertical="center"/>
    </xf>
    <xf numFmtId="0" fontId="22" fillId="0" borderId="19" xfId="55" applyFont="1" applyBorder="1" applyAlignment="1">
      <alignment horizontal="center" vertical="center"/>
    </xf>
    <xf numFmtId="10" fontId="22" fillId="7" borderId="19" xfId="55" applyNumberFormat="1" applyFont="1" applyFill="1" applyBorder="1" applyAlignment="1">
      <alignment horizontal="left" vertical="center"/>
    </xf>
    <xf numFmtId="10" fontId="61" fillId="0" borderId="19" xfId="55" applyNumberFormat="1" applyFont="1" applyBorder="1" applyAlignment="1">
      <alignment horizontal="center" vertical="center" shrinkToFit="1"/>
    </xf>
    <xf numFmtId="0" fontId="61" fillId="0" borderId="19" xfId="55" applyFont="1" applyBorder="1" applyAlignment="1">
      <alignment horizontal="center" vertical="center" shrinkToFit="1"/>
    </xf>
    <xf numFmtId="0" fontId="61" fillId="0" borderId="20" xfId="55" applyFont="1" applyBorder="1" applyAlignment="1">
      <alignment horizontal="center" vertical="center" shrinkToFit="1"/>
    </xf>
    <xf numFmtId="0" fontId="22" fillId="0" borderId="20" xfId="55" applyFont="1" applyBorder="1" applyAlignment="1">
      <alignment horizontal="left" vertical="center"/>
    </xf>
    <xf numFmtId="10" fontId="26" fillId="0" borderId="19" xfId="59" applyNumberFormat="1" applyFont="1" applyBorder="1" applyAlignment="1">
      <alignment horizontal="left" vertical="center" shrinkToFit="1"/>
    </xf>
    <xf numFmtId="0" fontId="26" fillId="0" borderId="19" xfId="55" applyFont="1" applyBorder="1" applyAlignment="1">
      <alignment horizontal="center" vertical="center" shrinkToFit="1"/>
    </xf>
    <xf numFmtId="0" fontId="26" fillId="0" borderId="20" xfId="55" applyFont="1" applyBorder="1" applyAlignment="1">
      <alignment horizontal="center" vertical="center" shrinkToFit="1"/>
    </xf>
    <xf numFmtId="10" fontId="22" fillId="0" borderId="1" xfId="61" applyNumberFormat="1" applyFont="1" applyFill="1" applyBorder="1" applyAlignment="1">
      <alignment vertical="center"/>
    </xf>
    <xf numFmtId="10" fontId="22" fillId="0" borderId="45" xfId="61" applyNumberFormat="1" applyFont="1" applyFill="1" applyBorder="1" applyAlignment="1">
      <alignment vertical="center"/>
    </xf>
    <xf numFmtId="10" fontId="22" fillId="0" borderId="19" xfId="63" applyNumberFormat="1" applyFont="1" applyBorder="1" applyAlignment="1">
      <alignment vertical="center"/>
    </xf>
    <xf numFmtId="10" fontId="22" fillId="0" borderId="19" xfId="61" applyNumberFormat="1" applyFont="1" applyFill="1" applyBorder="1" applyAlignment="1">
      <alignment vertical="center"/>
    </xf>
    <xf numFmtId="10" fontId="22" fillId="0" borderId="20" xfId="61" applyNumberFormat="1" applyFont="1" applyFill="1" applyBorder="1" applyAlignment="1">
      <alignment vertical="center"/>
    </xf>
    <xf numFmtId="0" fontId="22" fillId="0" borderId="42" xfId="55" applyFont="1" applyBorder="1" applyAlignment="1">
      <alignment horizontal="justify" vertical="center" wrapText="1"/>
    </xf>
    <xf numFmtId="10" fontId="26" fillId="0" borderId="19" xfId="55" applyNumberFormat="1" applyFont="1" applyBorder="1" applyAlignment="1">
      <alignment horizontal="center" vertical="center" shrinkToFit="1"/>
    </xf>
    <xf numFmtId="10" fontId="26" fillId="0" borderId="20" xfId="55" applyNumberFormat="1" applyFont="1" applyBorder="1" applyAlignment="1">
      <alignment horizontal="center" vertical="center" shrinkToFit="1"/>
    </xf>
    <xf numFmtId="0" fontId="22" fillId="0" borderId="0" xfId="55" applyFont="1" applyAlignment="1">
      <alignment vertical="center" shrinkToFit="1"/>
    </xf>
    <xf numFmtId="0" fontId="22" fillId="0" borderId="42" xfId="55" applyFont="1" applyBorder="1" applyAlignment="1">
      <alignment vertical="center" shrinkToFit="1"/>
    </xf>
    <xf numFmtId="10" fontId="26" fillId="0" borderId="0" xfId="59" applyNumberFormat="1" applyFont="1" applyAlignment="1">
      <alignment horizontal="center" vertical="center"/>
    </xf>
    <xf numFmtId="10" fontId="74" fillId="0" borderId="0" xfId="59" applyNumberFormat="1" applyFont="1" applyAlignment="1">
      <alignment horizontal="center"/>
    </xf>
    <xf numFmtId="10" fontId="22" fillId="0" borderId="0" xfId="59" applyNumberFormat="1" applyFont="1" applyAlignment="1">
      <alignment horizontal="center"/>
    </xf>
    <xf numFmtId="0" fontId="75" fillId="0" borderId="0" xfId="32" applyFont="1" applyAlignment="1">
      <alignment horizontal="center" wrapText="1"/>
    </xf>
    <xf numFmtId="0" fontId="75" fillId="0" borderId="0" xfId="32" applyFont="1" applyAlignment="1">
      <alignment vertical="center" wrapText="1"/>
    </xf>
    <xf numFmtId="10" fontId="76" fillId="0" borderId="0" xfId="59" applyNumberFormat="1" applyFont="1">
      <alignment vertical="center"/>
    </xf>
    <xf numFmtId="10" fontId="22" fillId="0" borderId="0" xfId="59" applyNumberFormat="1" applyFont="1" applyAlignment="1">
      <alignment horizontal="center" vertical="center"/>
    </xf>
    <xf numFmtId="10" fontId="26" fillId="0" borderId="0" xfId="59" applyNumberFormat="1" applyFont="1" applyAlignment="1">
      <alignment horizontal="center"/>
    </xf>
    <xf numFmtId="0" fontId="77" fillId="0" borderId="0" xfId="59" applyFont="1">
      <alignment vertical="center"/>
    </xf>
    <xf numFmtId="0" fontId="22" fillId="0" borderId="0" xfId="59" applyFont="1" applyAlignment="1">
      <alignment horizontal="center" vertical="center"/>
    </xf>
    <xf numFmtId="0" fontId="79" fillId="23" borderId="2" xfId="4" applyNumberFormat="1" applyFont="1" applyFill="1" applyBorder="1" applyAlignment="1">
      <alignment horizontal="center" vertical="center"/>
    </xf>
    <xf numFmtId="10" fontId="51" fillId="0" borderId="2" xfId="32" applyNumberFormat="1" applyFont="1" applyBorder="1" applyAlignment="1">
      <alignment horizontal="center" vertical="center"/>
    </xf>
    <xf numFmtId="2" fontId="22" fillId="7" borderId="1" xfId="67" applyNumberFormat="1" applyFont="1" applyFill="1" applyBorder="1" applyAlignment="1">
      <alignment horizontal="center" vertical="center"/>
    </xf>
    <xf numFmtId="10" fontId="22" fillId="7" borderId="19" xfId="55" applyNumberFormat="1" applyFont="1" applyFill="1" applyBorder="1">
      <alignment vertical="center"/>
    </xf>
    <xf numFmtId="49" fontId="80" fillId="0" borderId="19" xfId="55" applyNumberFormat="1" applyFont="1" applyBorder="1" applyAlignment="1">
      <alignment horizontal="center" vertical="center"/>
    </xf>
    <xf numFmtId="10" fontId="22" fillId="0" borderId="19" xfId="55" applyNumberFormat="1" applyFont="1" applyBorder="1" applyAlignment="1">
      <alignment horizontal="center" vertical="center"/>
    </xf>
    <xf numFmtId="10" fontId="22" fillId="0" borderId="19" xfId="55" applyNumberFormat="1" applyFont="1" applyBorder="1" applyAlignment="1">
      <alignment horizontal="left" vertical="center"/>
    </xf>
    <xf numFmtId="0" fontId="22" fillId="0" borderId="19" xfId="55" applyFont="1" applyBorder="1" applyAlignment="1">
      <alignment horizontal="left" vertical="center"/>
    </xf>
    <xf numFmtId="10" fontId="22" fillId="0" borderId="0" xfId="59" applyNumberFormat="1" applyFont="1" applyAlignment="1">
      <alignment vertical="center" shrinkToFit="1"/>
    </xf>
    <xf numFmtId="0" fontId="19" fillId="0" borderId="51" xfId="43" applyFont="1" applyBorder="1" applyAlignment="1">
      <alignment horizontal="center" vertical="center" wrapText="1"/>
    </xf>
    <xf numFmtId="44" fontId="19" fillId="0" borderId="2" xfId="1" applyFont="1" applyBorder="1" applyAlignment="1">
      <alignment horizontal="center" vertical="center" wrapText="1"/>
    </xf>
    <xf numFmtId="0" fontId="64" fillId="0" borderId="0" xfId="43" applyFont="1" applyAlignment="1">
      <alignment horizontal="justify" vertical="center" wrapText="1"/>
    </xf>
    <xf numFmtId="0" fontId="36" fillId="0" borderId="0" xfId="37"/>
    <xf numFmtId="0" fontId="36" fillId="0" borderId="0" xfId="24"/>
    <xf numFmtId="0" fontId="33" fillId="0" borderId="0" xfId="24" applyFont="1" applyAlignment="1">
      <alignment horizontal="center" vertical="center"/>
    </xf>
    <xf numFmtId="0" fontId="33" fillId="0" borderId="20" xfId="24" applyFont="1" applyBorder="1" applyAlignment="1">
      <alignment horizontal="center" vertical="center"/>
    </xf>
    <xf numFmtId="0" fontId="34" fillId="0" borderId="2" xfId="24" applyFont="1" applyBorder="1" applyAlignment="1">
      <alignment horizontal="center" vertical="center"/>
    </xf>
    <xf numFmtId="20" fontId="33" fillId="0" borderId="2" xfId="24" applyNumberFormat="1" applyFont="1" applyBorder="1" applyAlignment="1">
      <alignment horizontal="center" vertical="center"/>
    </xf>
    <xf numFmtId="0" fontId="33" fillId="0" borderId="78" xfId="24" applyFont="1" applyBorder="1" applyAlignment="1">
      <alignment horizontal="center" vertical="center"/>
    </xf>
    <xf numFmtId="0" fontId="33" fillId="0" borderId="2" xfId="29" applyFont="1" applyBorder="1" applyAlignment="1">
      <alignment horizontal="center" vertical="center"/>
    </xf>
    <xf numFmtId="0" fontId="33" fillId="0" borderId="0" xfId="29" applyFont="1" applyAlignment="1">
      <alignment horizontal="center" vertical="center"/>
    </xf>
    <xf numFmtId="0" fontId="36" fillId="0" borderId="13" xfId="24" applyBorder="1"/>
    <xf numFmtId="0" fontId="34" fillId="26" borderId="2" xfId="24" applyFont="1" applyFill="1" applyBorder="1"/>
    <xf numFmtId="0" fontId="50" fillId="0" borderId="0" xfId="24" applyFont="1" applyAlignment="1">
      <alignment horizontal="center" vertical="center" textRotation="90"/>
    </xf>
    <xf numFmtId="0" fontId="81" fillId="0" borderId="0" xfId="24" applyFont="1" applyAlignment="1">
      <alignment vertical="center" wrapText="1"/>
    </xf>
    <xf numFmtId="0" fontId="82" fillId="0" borderId="0" xfId="46" applyFont="1" applyAlignment="1">
      <alignment vertical="center" wrapText="1"/>
    </xf>
    <xf numFmtId="0" fontId="29" fillId="0" borderId="0" xfId="46"/>
    <xf numFmtId="0" fontId="9" fillId="34" borderId="2" xfId="46" applyFont="1" applyFill="1" applyBorder="1" applyAlignment="1">
      <alignment horizontal="center" vertical="center" wrapText="1"/>
    </xf>
    <xf numFmtId="2" fontId="12" fillId="0" borderId="2" xfId="46" applyNumberFormat="1" applyFont="1" applyBorder="1" applyAlignment="1">
      <alignment horizontal="center" vertical="center"/>
    </xf>
    <xf numFmtId="44" fontId="12" fillId="0" borderId="2" xfId="46" applyNumberFormat="1" applyFont="1" applyBorder="1" applyAlignment="1">
      <alignment horizontal="center" vertical="center"/>
    </xf>
    <xf numFmtId="0" fontId="17" fillId="16" borderId="8" xfId="46" applyFont="1" applyFill="1" applyBorder="1" applyAlignment="1">
      <alignment horizontal="center" vertical="center"/>
    </xf>
    <xf numFmtId="2" fontId="12" fillId="0" borderId="0" xfId="46" applyNumberFormat="1" applyFont="1" applyAlignment="1">
      <alignment horizontal="center" vertical="center"/>
    </xf>
    <xf numFmtId="44" fontId="12" fillId="0" borderId="0" xfId="46" applyNumberFormat="1" applyFont="1" applyAlignment="1">
      <alignment horizontal="center" vertical="center"/>
    </xf>
    <xf numFmtId="0" fontId="33" fillId="0" borderId="0" xfId="37" applyFont="1" applyAlignment="1">
      <alignment horizontal="center" vertical="center"/>
    </xf>
    <xf numFmtId="0" fontId="5" fillId="0" borderId="2" xfId="43" applyFont="1" applyBorder="1" applyAlignment="1">
      <alignment horizontal="center" vertical="center" wrapText="1"/>
    </xf>
    <xf numFmtId="167" fontId="4" fillId="0" borderId="2" xfId="3" applyFont="1" applyFill="1" applyBorder="1" applyAlignment="1">
      <alignment vertical="center" wrapText="1"/>
    </xf>
    <xf numFmtId="0" fontId="33" fillId="0" borderId="2" xfId="24" applyFont="1" applyBorder="1" applyAlignment="1">
      <alignment horizontal="center" vertical="center"/>
    </xf>
    <xf numFmtId="2" fontId="33" fillId="0" borderId="2" xfId="29" applyNumberFormat="1" applyFont="1" applyBorder="1" applyAlignment="1">
      <alignment horizontal="center" vertical="center"/>
    </xf>
    <xf numFmtId="2" fontId="34" fillId="0" borderId="2" xfId="29" applyNumberFormat="1" applyFont="1" applyBorder="1" applyAlignment="1">
      <alignment horizontal="center" vertical="center"/>
    </xf>
    <xf numFmtId="0" fontId="34" fillId="0" borderId="0" xfId="24" applyFont="1" applyAlignment="1">
      <alignment horizontal="center" vertical="center"/>
    </xf>
    <xf numFmtId="9" fontId="34" fillId="0" borderId="0" xfId="24" applyNumberFormat="1" applyFont="1" applyAlignment="1">
      <alignment horizontal="center" vertical="center"/>
    </xf>
    <xf numFmtId="0" fontId="51" fillId="0" borderId="0" xfId="37" applyFont="1" applyAlignment="1">
      <alignment horizontal="center" vertical="center"/>
    </xf>
    <xf numFmtId="0" fontId="60" fillId="0" borderId="0" xfId="43" applyFont="1" applyAlignment="1">
      <alignment horizontal="center" vertical="center" wrapText="1"/>
    </xf>
    <xf numFmtId="0" fontId="29" fillId="0" borderId="0" xfId="43" applyAlignment="1">
      <alignment horizontal="center" vertical="center"/>
    </xf>
    <xf numFmtId="165" fontId="29" fillId="0" borderId="0" xfId="43" applyNumberFormat="1" applyAlignment="1">
      <alignment vertical="center"/>
    </xf>
    <xf numFmtId="0" fontId="85" fillId="0" borderId="0" xfId="43" applyFont="1"/>
    <xf numFmtId="0" fontId="78" fillId="0" borderId="0" xfId="43" applyFont="1"/>
    <xf numFmtId="0" fontId="12" fillId="0" borderId="0" xfId="43" applyFont="1" applyAlignment="1">
      <alignment horizontal="center" vertical="center"/>
    </xf>
    <xf numFmtId="0" fontId="12" fillId="0" borderId="0" xfId="43" applyFont="1" applyAlignment="1">
      <alignment horizontal="center"/>
    </xf>
    <xf numFmtId="0" fontId="12" fillId="0" borderId="0" xfId="43" applyFont="1"/>
    <xf numFmtId="0" fontId="85" fillId="0" borderId="0" xfId="43" applyFont="1" applyAlignment="1">
      <alignment horizontal="center" vertical="center"/>
    </xf>
    <xf numFmtId="0" fontId="85" fillId="0" borderId="0" xfId="43" applyFont="1" applyAlignment="1">
      <alignment horizontal="center"/>
    </xf>
    <xf numFmtId="0" fontId="78" fillId="0" borderId="0" xfId="43" applyFont="1" applyAlignment="1">
      <alignment horizontal="center" vertical="center"/>
    </xf>
    <xf numFmtId="0" fontId="78" fillId="0" borderId="0" xfId="43" applyFont="1" applyAlignment="1">
      <alignment horizontal="center"/>
    </xf>
    <xf numFmtId="0" fontId="9" fillId="23" borderId="2" xfId="43" applyFont="1" applyFill="1" applyBorder="1" applyAlignment="1">
      <alignment horizontal="center" vertical="center"/>
    </xf>
    <xf numFmtId="0" fontId="9" fillId="23" borderId="2" xfId="43" applyFont="1" applyFill="1" applyBorder="1" applyAlignment="1">
      <alignment horizontal="center" vertical="center" wrapText="1"/>
    </xf>
    <xf numFmtId="0" fontId="26" fillId="23" borderId="2" xfId="43" applyFont="1" applyFill="1" applyBorder="1" applyAlignment="1">
      <alignment horizontal="center" vertical="center" wrapText="1"/>
    </xf>
    <xf numFmtId="0" fontId="5" fillId="0" borderId="2" xfId="19" applyFont="1" applyBorder="1" applyAlignment="1">
      <alignment horizontal="center" vertical="center" wrapText="1"/>
    </xf>
    <xf numFmtId="44" fontId="19" fillId="33" borderId="11" xfId="43" applyNumberFormat="1" applyFont="1" applyFill="1" applyBorder="1" applyAlignment="1">
      <alignment horizontal="center" vertical="center"/>
    </xf>
    <xf numFmtId="0" fontId="19" fillId="0" borderId="0" xfId="43" applyFont="1" applyAlignment="1">
      <alignment horizontal="center"/>
    </xf>
    <xf numFmtId="44" fontId="19" fillId="0" borderId="0" xfId="43" applyNumberFormat="1" applyFont="1" applyAlignment="1">
      <alignment horizontal="center"/>
    </xf>
    <xf numFmtId="44" fontId="85" fillId="0" borderId="0" xfId="43" applyNumberFormat="1" applyFont="1" applyAlignment="1">
      <alignment vertical="center"/>
    </xf>
    <xf numFmtId="44" fontId="78" fillId="0" borderId="0" xfId="43" applyNumberFormat="1" applyFont="1" applyAlignment="1">
      <alignment horizontal="center" vertical="center"/>
    </xf>
    <xf numFmtId="44" fontId="19" fillId="0" borderId="11" xfId="43" applyNumberFormat="1" applyFont="1" applyBorder="1" applyAlignment="1">
      <alignment vertical="center"/>
    </xf>
    <xf numFmtId="44" fontId="19" fillId="0" borderId="2" xfId="43" applyNumberFormat="1" applyFont="1" applyBorder="1" applyAlignment="1">
      <alignment vertical="center"/>
    </xf>
    <xf numFmtId="44" fontId="86" fillId="0" borderId="2" xfId="43" applyNumberFormat="1" applyFont="1" applyBorder="1" applyAlignment="1">
      <alignment vertical="center"/>
    </xf>
    <xf numFmtId="0" fontId="5" fillId="30" borderId="2" xfId="19" applyFont="1" applyFill="1" applyBorder="1" applyAlignment="1">
      <alignment horizontal="center" vertical="center"/>
    </xf>
    <xf numFmtId="0" fontId="4" fillId="19" borderId="2" xfId="19" applyFont="1" applyFill="1" applyBorder="1" applyAlignment="1">
      <alignment horizontal="center" vertical="center"/>
    </xf>
    <xf numFmtId="4" fontId="4" fillId="19" borderId="2" xfId="19" applyNumberFormat="1" applyFont="1" applyFill="1" applyBorder="1" applyAlignment="1">
      <alignment horizontal="center" vertical="center"/>
    </xf>
    <xf numFmtId="4" fontId="5" fillId="30" borderId="2" xfId="19" applyNumberFormat="1" applyFont="1" applyFill="1" applyBorder="1" applyAlignment="1">
      <alignment horizontal="center" vertical="center"/>
    </xf>
    <xf numFmtId="0" fontId="5" fillId="0" borderId="0" xfId="19" applyFont="1" applyAlignment="1">
      <alignment horizontal="center" vertical="center"/>
    </xf>
    <xf numFmtId="4" fontId="5" fillId="0" borderId="0" xfId="19" applyNumberFormat="1" applyFont="1" applyAlignment="1">
      <alignment horizontal="center" vertical="center"/>
    </xf>
    <xf numFmtId="0" fontId="91" fillId="0" borderId="0" xfId="0" applyFont="1"/>
    <xf numFmtId="0" fontId="91" fillId="38" borderId="2" xfId="0" applyFont="1" applyFill="1" applyBorder="1" applyAlignment="1">
      <alignment horizontal="center" vertical="center" wrapText="1"/>
    </xf>
    <xf numFmtId="44" fontId="91" fillId="0" borderId="2" xfId="1" applyFont="1" applyFill="1" applyBorder="1" applyAlignment="1">
      <alignment horizontal="right" vertical="center"/>
    </xf>
    <xf numFmtId="44" fontId="91" fillId="38" borderId="2" xfId="0" applyNumberFormat="1" applyFont="1" applyFill="1" applyBorder="1" applyAlignment="1">
      <alignment horizontal="center" vertical="center"/>
    </xf>
    <xf numFmtId="44" fontId="91" fillId="0" borderId="2" xfId="0" applyNumberFormat="1" applyFont="1" applyBorder="1" applyAlignment="1">
      <alignment horizontal="center" vertical="center"/>
    </xf>
    <xf numFmtId="0" fontId="0" fillId="0" borderId="0" xfId="0" applyAlignment="1">
      <alignment horizontal="center" vertical="center"/>
    </xf>
    <xf numFmtId="44" fontId="91" fillId="24" borderId="2" xfId="1" applyFont="1" applyFill="1" applyBorder="1" applyAlignment="1">
      <alignment horizontal="right" vertical="center"/>
    </xf>
    <xf numFmtId="0" fontId="92" fillId="0" borderId="13" xfId="0" applyFont="1" applyBorder="1" applyAlignment="1">
      <alignment vertical="center"/>
    </xf>
    <xf numFmtId="0" fontId="92" fillId="37" borderId="20" xfId="0" applyFont="1" applyFill="1" applyBorder="1" applyAlignment="1">
      <alignment vertical="center"/>
    </xf>
    <xf numFmtId="0" fontId="91" fillId="38" borderId="2" xfId="0" applyFont="1" applyFill="1" applyBorder="1" applyAlignment="1">
      <alignment horizontal="center" vertical="center"/>
    </xf>
    <xf numFmtId="44" fontId="92" fillId="0" borderId="13" xfId="1" applyFont="1" applyFill="1" applyBorder="1" applyAlignment="1">
      <alignment horizontal="right" vertical="center"/>
    </xf>
    <xf numFmtId="44" fontId="92" fillId="37" borderId="2" xfId="1" applyFont="1" applyFill="1" applyBorder="1" applyAlignment="1">
      <alignment horizontal="right" vertical="center"/>
    </xf>
    <xf numFmtId="0" fontId="92" fillId="39" borderId="9" xfId="0" applyFont="1" applyFill="1" applyBorder="1" applyAlignment="1">
      <alignment horizontal="center" vertical="center" wrapText="1"/>
    </xf>
    <xf numFmtId="0" fontId="106" fillId="39" borderId="2" xfId="0" applyFont="1" applyFill="1" applyBorder="1" applyAlignment="1">
      <alignment horizontal="center" vertical="center" wrapText="1"/>
    </xf>
    <xf numFmtId="0" fontId="92" fillId="39" borderId="20" xfId="0" applyFont="1" applyFill="1" applyBorder="1" applyAlignment="1">
      <alignment vertical="center" wrapText="1"/>
    </xf>
    <xf numFmtId="0" fontId="106" fillId="39" borderId="11" xfId="0" applyFont="1" applyFill="1" applyBorder="1" applyAlignment="1">
      <alignment horizontal="center" vertical="center" wrapText="1"/>
    </xf>
    <xf numFmtId="0" fontId="106" fillId="39" borderId="31" xfId="0" applyFont="1" applyFill="1" applyBorder="1" applyAlignment="1">
      <alignment horizontal="center" vertical="center" wrapText="1"/>
    </xf>
    <xf numFmtId="0" fontId="91" fillId="38" borderId="11" xfId="0" applyFont="1" applyFill="1" applyBorder="1" applyAlignment="1">
      <alignment horizontal="center" vertical="center" wrapText="1"/>
    </xf>
    <xf numFmtId="0" fontId="12" fillId="0" borderId="2" xfId="46" applyFont="1" applyBorder="1" applyAlignment="1">
      <alignment horizontal="center" vertical="center" wrapText="1"/>
    </xf>
    <xf numFmtId="168" fontId="108" fillId="0" borderId="8" xfId="6" applyFont="1" applyFill="1" applyBorder="1" applyAlignment="1">
      <alignment horizontal="center" vertical="center" wrapText="1"/>
    </xf>
    <xf numFmtId="44" fontId="22" fillId="0" borderId="0" xfId="43" applyNumberFormat="1" applyFont="1" applyAlignment="1" applyProtection="1">
      <alignment horizontal="center" vertical="center"/>
      <protection locked="0"/>
    </xf>
    <xf numFmtId="44" fontId="109" fillId="15" borderId="2" xfId="43" applyNumberFormat="1" applyFont="1" applyFill="1" applyBorder="1" applyAlignment="1" applyProtection="1">
      <alignment horizontal="center" vertical="center"/>
      <protection locked="0"/>
    </xf>
    <xf numFmtId="0" fontId="111" fillId="0" borderId="0" xfId="43" applyFont="1" applyAlignment="1" applyProtection="1">
      <alignment horizontal="center" vertical="center"/>
      <protection locked="0"/>
    </xf>
    <xf numFmtId="10" fontId="111" fillId="0" borderId="0" xfId="43" applyNumberFormat="1" applyFont="1" applyAlignment="1" applyProtection="1">
      <alignment horizontal="center" vertical="center"/>
      <protection locked="0"/>
    </xf>
    <xf numFmtId="0" fontId="112" fillId="0" borderId="0" xfId="43" applyFont="1" applyAlignment="1">
      <alignment horizontal="center" vertical="center"/>
    </xf>
    <xf numFmtId="0" fontId="112" fillId="0" borderId="0" xfId="43" applyFont="1" applyAlignment="1">
      <alignment vertical="center"/>
    </xf>
    <xf numFmtId="0" fontId="29" fillId="0" borderId="0" xfId="88"/>
    <xf numFmtId="0" fontId="87" fillId="20" borderId="2" xfId="39" applyFont="1" applyFill="1" applyBorder="1" applyAlignment="1">
      <alignment horizontal="center" vertical="center" wrapText="1"/>
    </xf>
    <xf numFmtId="44" fontId="0" fillId="0" borderId="0" xfId="0" applyNumberFormat="1"/>
    <xf numFmtId="44" fontId="111" fillId="33" borderId="2" xfId="43" applyNumberFormat="1" applyFont="1" applyFill="1" applyBorder="1" applyAlignment="1">
      <alignment horizontal="center" vertical="center"/>
    </xf>
    <xf numFmtId="44" fontId="111" fillId="32" borderId="2" xfId="43" applyNumberFormat="1" applyFont="1" applyFill="1" applyBorder="1" applyAlignment="1">
      <alignment horizontal="center" vertical="center"/>
    </xf>
    <xf numFmtId="0" fontId="113" fillId="40" borderId="11" xfId="43" applyFont="1" applyFill="1" applyBorder="1" applyAlignment="1">
      <alignment horizontal="center" vertical="center"/>
    </xf>
    <xf numFmtId="0" fontId="113" fillId="40" borderId="11" xfId="43" applyFont="1" applyFill="1" applyBorder="1" applyAlignment="1">
      <alignment horizontal="center" vertical="center" wrapText="1"/>
    </xf>
    <xf numFmtId="0" fontId="26" fillId="23" borderId="11" xfId="43" applyFont="1" applyFill="1" applyBorder="1" applyAlignment="1">
      <alignment horizontal="center" vertical="center" wrapText="1"/>
    </xf>
    <xf numFmtId="0" fontId="12" fillId="21" borderId="2" xfId="88" applyFont="1" applyFill="1" applyBorder="1" applyAlignment="1">
      <alignment horizontal="center" vertical="center"/>
    </xf>
    <xf numFmtId="0" fontId="5" fillId="21" borderId="2" xfId="19" applyFont="1" applyFill="1" applyBorder="1" applyAlignment="1">
      <alignment horizontal="center" vertical="center"/>
    </xf>
    <xf numFmtId="0" fontId="12" fillId="21" borderId="2" xfId="88" applyFont="1" applyFill="1" applyBorder="1" applyAlignment="1">
      <alignment horizontal="center" vertical="center" wrapText="1"/>
    </xf>
    <xf numFmtId="165" fontId="12" fillId="21" borderId="2" xfId="88" applyNumberFormat="1" applyFont="1" applyFill="1" applyBorder="1" applyAlignment="1">
      <alignment horizontal="center" vertical="center" wrapText="1"/>
    </xf>
    <xf numFmtId="0" fontId="114" fillId="0" borderId="0" xfId="88" applyFont="1"/>
    <xf numFmtId="0" fontId="29" fillId="21" borderId="2" xfId="88" applyFill="1" applyBorder="1"/>
    <xf numFmtId="0" fontId="115" fillId="0" borderId="2" xfId="88" applyFont="1" applyBorder="1"/>
    <xf numFmtId="0" fontId="12" fillId="0" borderId="2" xfId="88" applyFont="1" applyBorder="1" applyAlignment="1">
      <alignment horizontal="center" vertical="center"/>
    </xf>
    <xf numFmtId="0" fontId="5" fillId="0" borderId="2" xfId="19" applyFont="1" applyBorder="1" applyAlignment="1">
      <alignment horizontal="center" vertical="center"/>
    </xf>
    <xf numFmtId="0" fontId="12" fillId="0" borderId="2" xfId="88" applyFont="1" applyBorder="1" applyAlignment="1">
      <alignment horizontal="center" vertical="center" wrapText="1"/>
    </xf>
    <xf numFmtId="165" fontId="12" fillId="0" borderId="2" xfId="88" applyNumberFormat="1" applyFont="1" applyBorder="1" applyAlignment="1">
      <alignment horizontal="center" vertical="center" wrapText="1"/>
    </xf>
    <xf numFmtId="0" fontId="115" fillId="0" borderId="0" xfId="88" applyFont="1"/>
    <xf numFmtId="0" fontId="2" fillId="0" borderId="0" xfId="89"/>
    <xf numFmtId="44" fontId="94" fillId="19" borderId="0" xfId="90" applyFont="1" applyFill="1" applyAlignment="1">
      <alignment horizontal="left"/>
    </xf>
    <xf numFmtId="0" fontId="2" fillId="0" borderId="0" xfId="89" applyAlignment="1">
      <alignment horizontal="center"/>
    </xf>
    <xf numFmtId="0" fontId="94" fillId="19" borderId="0" xfId="89" applyFont="1" applyFill="1" applyAlignment="1">
      <alignment horizontal="left"/>
    </xf>
    <xf numFmtId="0" fontId="94" fillId="19" borderId="0" xfId="89" applyFont="1" applyFill="1" applyAlignment="1">
      <alignment horizontal="center"/>
    </xf>
    <xf numFmtId="49" fontId="94" fillId="19" borderId="0" xfId="89" applyNumberFormat="1" applyFont="1" applyFill="1" applyAlignment="1">
      <alignment horizontal="center"/>
    </xf>
    <xf numFmtId="44" fontId="94" fillId="19" borderId="2" xfId="90" applyFont="1" applyFill="1" applyBorder="1" applyAlignment="1">
      <alignment horizontal="left"/>
    </xf>
    <xf numFmtId="0" fontId="2" fillId="0" borderId="2" xfId="89" applyBorder="1" applyAlignment="1">
      <alignment horizontal="center"/>
    </xf>
    <xf numFmtId="0" fontId="94" fillId="19" borderId="2" xfId="89" applyFont="1" applyFill="1" applyBorder="1" applyAlignment="1">
      <alignment horizontal="left"/>
    </xf>
    <xf numFmtId="0" fontId="94" fillId="19" borderId="2" xfId="89" applyFont="1" applyFill="1" applyBorder="1" applyAlignment="1">
      <alignment horizontal="center"/>
    </xf>
    <xf numFmtId="0" fontId="2" fillId="0" borderId="2" xfId="89" applyBorder="1"/>
    <xf numFmtId="49" fontId="94" fillId="19" borderId="2" xfId="89" applyNumberFormat="1" applyFont="1" applyFill="1" applyBorder="1" applyAlignment="1">
      <alignment horizontal="center"/>
    </xf>
    <xf numFmtId="0" fontId="94" fillId="35" borderId="2" xfId="89" applyFont="1" applyFill="1" applyBorder="1" applyAlignment="1">
      <alignment horizontal="center"/>
    </xf>
    <xf numFmtId="164" fontId="94" fillId="35" borderId="2" xfId="89" applyNumberFormat="1" applyFont="1" applyFill="1" applyBorder="1" applyAlignment="1">
      <alignment horizontal="center"/>
    </xf>
    <xf numFmtId="0" fontId="94" fillId="35" borderId="2" xfId="89" applyFont="1" applyFill="1" applyBorder="1" applyAlignment="1">
      <alignment horizontal="center" vertical="center"/>
    </xf>
    <xf numFmtId="0" fontId="94" fillId="35" borderId="19" xfId="89" applyFont="1" applyFill="1" applyBorder="1" applyAlignment="1">
      <alignment horizontal="left" vertical="center"/>
    </xf>
    <xf numFmtId="0" fontId="95" fillId="0" borderId="2" xfId="89" applyFont="1" applyBorder="1"/>
    <xf numFmtId="0" fontId="94" fillId="35" borderId="2" xfId="89" applyFont="1" applyFill="1" applyBorder="1" applyAlignment="1">
      <alignment horizontal="left"/>
    </xf>
    <xf numFmtId="0" fontId="94" fillId="0" borderId="2" xfId="89" applyFont="1" applyBorder="1" applyAlignment="1">
      <alignment horizontal="center"/>
    </xf>
    <xf numFmtId="164" fontId="94" fillId="0" borderId="2" xfId="89" applyNumberFormat="1" applyFont="1" applyBorder="1" applyAlignment="1">
      <alignment horizontal="center"/>
    </xf>
    <xf numFmtId="0" fontId="94" fillId="0" borderId="2" xfId="89" applyFont="1" applyBorder="1" applyAlignment="1">
      <alignment horizontal="center" vertical="center"/>
    </xf>
    <xf numFmtId="0" fontId="94" fillId="0" borderId="2" xfId="89" applyFont="1" applyBorder="1" applyAlignment="1">
      <alignment horizontal="left"/>
    </xf>
    <xf numFmtId="0" fontId="94" fillId="0" borderId="19" xfId="89" applyFont="1" applyBorder="1" applyAlignment="1">
      <alignment horizontal="left" vertical="center"/>
    </xf>
    <xf numFmtId="49" fontId="94" fillId="0" borderId="2" xfId="89" applyNumberFormat="1" applyFont="1" applyBorder="1" applyAlignment="1">
      <alignment horizontal="center"/>
    </xf>
    <xf numFmtId="0" fontId="96" fillId="0" borderId="0" xfId="89" applyFont="1" applyAlignment="1">
      <alignment vertical="center"/>
    </xf>
    <xf numFmtId="0" fontId="94" fillId="35" borderId="9" xfId="89" applyFont="1" applyFill="1" applyBorder="1" applyAlignment="1">
      <alignment horizontal="left" vertical="center"/>
    </xf>
    <xf numFmtId="0" fontId="96" fillId="0" borderId="2" xfId="89" applyFont="1" applyBorder="1"/>
    <xf numFmtId="0" fontId="96" fillId="0" borderId="8" xfId="89" applyFont="1" applyBorder="1" applyAlignment="1">
      <alignment wrapText="1"/>
    </xf>
    <xf numFmtId="0" fontId="96" fillId="36" borderId="2" xfId="89" applyFont="1" applyFill="1" applyBorder="1"/>
    <xf numFmtId="0" fontId="2" fillId="0" borderId="2" xfId="89" applyBorder="1" applyAlignment="1">
      <alignment horizontal="left" vertical="center" wrapText="1"/>
    </xf>
    <xf numFmtId="0" fontId="94" fillId="35" borderId="2" xfId="89" applyFont="1" applyFill="1" applyBorder="1" applyAlignment="1">
      <alignment horizontal="left" vertical="center"/>
    </xf>
    <xf numFmtId="0" fontId="97" fillId="0" borderId="2" xfId="89" applyFont="1" applyBorder="1" applyAlignment="1">
      <alignment horizontal="center" vertical="center"/>
    </xf>
    <xf numFmtId="0" fontId="96" fillId="0" borderId="2" xfId="89" applyFont="1" applyBorder="1" applyAlignment="1">
      <alignment horizontal="center"/>
    </xf>
    <xf numFmtId="0" fontId="97" fillId="35" borderId="9" xfId="89" applyFont="1" applyFill="1" applyBorder="1" applyAlignment="1">
      <alignment horizontal="left"/>
    </xf>
    <xf numFmtId="0" fontId="97" fillId="35" borderId="2" xfId="89" applyFont="1" applyFill="1" applyBorder="1" applyAlignment="1">
      <alignment horizontal="center" vertical="center"/>
    </xf>
    <xf numFmtId="0" fontId="96" fillId="0" borderId="46" xfId="89" applyFont="1" applyBorder="1"/>
    <xf numFmtId="0" fontId="94" fillId="35" borderId="1" xfId="89" applyFont="1" applyFill="1" applyBorder="1" applyAlignment="1">
      <alignment horizontal="left" vertical="center"/>
    </xf>
    <xf numFmtId="0" fontId="94" fillId="35" borderId="1" xfId="89" quotePrefix="1" applyFont="1" applyFill="1" applyBorder="1" applyAlignment="1">
      <alignment horizontal="left" vertical="center"/>
    </xf>
    <xf numFmtId="0" fontId="96" fillId="0" borderId="0" xfId="89" applyFont="1"/>
    <xf numFmtId="44" fontId="94" fillId="19" borderId="2" xfId="90" applyFont="1" applyFill="1" applyBorder="1" applyAlignment="1">
      <alignment horizontal="center"/>
    </xf>
    <xf numFmtId="0" fontId="98" fillId="0" borderId="2" xfId="89" applyFont="1" applyBorder="1" applyAlignment="1">
      <alignment horizontal="center" vertical="center" wrapText="1"/>
    </xf>
    <xf numFmtId="0" fontId="98" fillId="0" borderId="9" xfId="89" applyFont="1" applyBorder="1" applyAlignment="1">
      <alignment horizontal="left" vertical="center" wrapText="1"/>
    </xf>
    <xf numFmtId="0" fontId="98" fillId="0" borderId="2" xfId="89" applyFont="1" applyBorder="1" applyAlignment="1">
      <alignment horizontal="left" vertical="center" wrapText="1"/>
    </xf>
    <xf numFmtId="0" fontId="94" fillId="19" borderId="2" xfId="89" applyFont="1" applyFill="1" applyBorder="1"/>
    <xf numFmtId="0" fontId="97" fillId="35" borderId="2" xfId="89" applyFont="1" applyFill="1" applyBorder="1" applyAlignment="1">
      <alignment horizontal="left"/>
    </xf>
    <xf numFmtId="44" fontId="94" fillId="19" borderId="11" xfId="90" applyFont="1" applyFill="1" applyBorder="1" applyAlignment="1">
      <alignment horizontal="center"/>
    </xf>
    <xf numFmtId="0" fontId="96" fillId="0" borderId="11" xfId="89" applyFont="1" applyBorder="1" applyAlignment="1">
      <alignment horizontal="center"/>
    </xf>
    <xf numFmtId="0" fontId="94" fillId="35" borderId="11" xfId="89" applyFont="1" applyFill="1" applyBorder="1" applyAlignment="1">
      <alignment horizontal="center" vertical="center"/>
    </xf>
    <xf numFmtId="0" fontId="97" fillId="35" borderId="21" xfId="89" applyFont="1" applyFill="1" applyBorder="1" applyAlignment="1">
      <alignment horizontal="left"/>
    </xf>
    <xf numFmtId="0" fontId="94" fillId="35" borderId="11" xfId="89" applyFont="1" applyFill="1" applyBorder="1" applyAlignment="1">
      <alignment horizontal="center"/>
    </xf>
    <xf numFmtId="0" fontId="96" fillId="0" borderId="11" xfId="89" applyFont="1" applyBorder="1"/>
    <xf numFmtId="0" fontId="94" fillId="35" borderId="11" xfId="89" applyFont="1" applyFill="1" applyBorder="1" applyAlignment="1">
      <alignment horizontal="left"/>
    </xf>
    <xf numFmtId="44" fontId="94" fillId="19" borderId="8" xfId="90" applyFont="1" applyFill="1" applyBorder="1" applyAlignment="1">
      <alignment horizontal="center"/>
    </xf>
    <xf numFmtId="0" fontId="96" fillId="0" borderId="8" xfId="89" applyFont="1" applyBorder="1" applyAlignment="1">
      <alignment horizontal="center"/>
    </xf>
    <xf numFmtId="0" fontId="94" fillId="35" borderId="8" xfId="89" applyFont="1" applyFill="1" applyBorder="1" applyAlignment="1">
      <alignment horizontal="center" vertical="center"/>
    </xf>
    <xf numFmtId="0" fontId="97" fillId="35" borderId="32" xfId="89" applyFont="1" applyFill="1" applyBorder="1" applyAlignment="1">
      <alignment horizontal="left"/>
    </xf>
    <xf numFmtId="0" fontId="94" fillId="35" borderId="8" xfId="89" applyFont="1" applyFill="1" applyBorder="1" applyAlignment="1">
      <alignment horizontal="center"/>
    </xf>
    <xf numFmtId="0" fontId="96" fillId="0" borderId="8" xfId="89" applyFont="1" applyBorder="1"/>
    <xf numFmtId="0" fontId="94" fillId="35" borderId="8" xfId="89" applyFont="1" applyFill="1" applyBorder="1" applyAlignment="1">
      <alignment horizontal="left"/>
    </xf>
    <xf numFmtId="0" fontId="98" fillId="19" borderId="2" xfId="89" applyFont="1" applyFill="1" applyBorder="1" applyAlignment="1">
      <alignment horizontal="center" vertical="center"/>
    </xf>
    <xf numFmtId="0" fontId="98" fillId="19" borderId="9" xfId="89" applyFont="1" applyFill="1" applyBorder="1" applyAlignment="1">
      <alignment horizontal="left" vertical="center"/>
    </xf>
    <xf numFmtId="0" fontId="98" fillId="19" borderId="1" xfId="89" applyFont="1" applyFill="1" applyBorder="1" applyAlignment="1">
      <alignment horizontal="left" vertical="center"/>
    </xf>
    <xf numFmtId="0" fontId="94" fillId="19" borderId="2" xfId="89" applyFont="1" applyFill="1" applyBorder="1" applyAlignment="1">
      <alignment horizontal="center" vertical="center"/>
    </xf>
    <xf numFmtId="0" fontId="98" fillId="0" borderId="21" xfId="89" applyFont="1" applyBorder="1" applyAlignment="1">
      <alignment horizontal="left" vertical="center" wrapText="1"/>
    </xf>
    <xf numFmtId="0" fontId="2" fillId="0" borderId="46" xfId="89" applyBorder="1"/>
    <xf numFmtId="0" fontId="2" fillId="0" borderId="49" xfId="89" applyBorder="1"/>
    <xf numFmtId="0" fontId="2" fillId="19" borderId="2" xfId="89" applyFill="1" applyBorder="1" applyAlignment="1">
      <alignment horizontal="center"/>
    </xf>
    <xf numFmtId="0" fontId="94" fillId="19" borderId="9" xfId="89" applyFont="1" applyFill="1" applyBorder="1" applyAlignment="1">
      <alignment horizontal="left"/>
    </xf>
    <xf numFmtId="0" fontId="94" fillId="19" borderId="19" xfId="89" applyFont="1" applyFill="1" applyBorder="1" applyAlignment="1">
      <alignment horizontal="left"/>
    </xf>
    <xf numFmtId="0" fontId="2" fillId="19" borderId="2" xfId="89" applyFill="1" applyBorder="1"/>
    <xf numFmtId="0" fontId="2" fillId="0" borderId="2" xfId="89" applyBorder="1" applyAlignment="1">
      <alignment vertical="center"/>
    </xf>
    <xf numFmtId="0" fontId="2" fillId="0" borderId="0" xfId="89" applyAlignment="1">
      <alignment vertical="center"/>
    </xf>
    <xf numFmtId="0" fontId="97" fillId="35" borderId="2" xfId="89" applyFont="1" applyFill="1" applyBorder="1" applyAlignment="1">
      <alignment horizontal="center"/>
    </xf>
    <xf numFmtId="0" fontId="94" fillId="19" borderId="9" xfId="89" applyFont="1" applyFill="1" applyBorder="1" applyAlignment="1">
      <alignment horizontal="left" vertical="center"/>
    </xf>
    <xf numFmtId="49" fontId="94" fillId="19" borderId="2" xfId="89" applyNumberFormat="1" applyFont="1" applyFill="1" applyBorder="1" applyAlignment="1">
      <alignment horizontal="center" vertical="center"/>
    </xf>
    <xf numFmtId="0" fontId="97" fillId="35" borderId="9" xfId="89" applyFont="1" applyFill="1" applyBorder="1" applyAlignment="1">
      <alignment horizontal="left" vertical="center"/>
    </xf>
    <xf numFmtId="0" fontId="94" fillId="35" borderId="21" xfId="89" applyFont="1" applyFill="1" applyBorder="1" applyAlignment="1">
      <alignment horizontal="left" vertical="center"/>
    </xf>
    <xf numFmtId="44" fontId="100" fillId="19" borderId="8" xfId="90" applyFont="1" applyFill="1" applyBorder="1" applyAlignment="1">
      <alignment horizontal="center" vertical="center" wrapText="1"/>
    </xf>
    <xf numFmtId="0" fontId="93" fillId="0" borderId="8" xfId="89" applyFont="1" applyBorder="1" applyAlignment="1">
      <alignment horizontal="center" vertical="center"/>
    </xf>
    <xf numFmtId="0" fontId="100" fillId="19" borderId="8" xfId="89" applyFont="1" applyFill="1" applyBorder="1" applyAlignment="1">
      <alignment horizontal="center" vertical="center" wrapText="1"/>
    </xf>
    <xf numFmtId="0" fontId="100" fillId="19" borderId="32" xfId="89" applyFont="1" applyFill="1" applyBorder="1" applyAlignment="1">
      <alignment horizontal="center" vertical="center" wrapText="1"/>
    </xf>
    <xf numFmtId="0" fontId="100" fillId="19" borderId="2" xfId="89" applyFont="1" applyFill="1" applyBorder="1" applyAlignment="1">
      <alignment horizontal="center" vertical="center" wrapText="1"/>
    </xf>
    <xf numFmtId="0" fontId="93" fillId="0" borderId="53" xfId="89" applyFont="1" applyBorder="1" applyAlignment="1">
      <alignment horizontal="center" vertical="center"/>
    </xf>
    <xf numFmtId="49" fontId="100" fillId="19" borderId="0" xfId="89" applyNumberFormat="1" applyFont="1" applyFill="1" applyAlignment="1">
      <alignment horizontal="center" vertical="center" wrapText="1"/>
    </xf>
    <xf numFmtId="49" fontId="100" fillId="19" borderId="8" xfId="89" applyNumberFormat="1" applyFont="1" applyFill="1" applyBorder="1" applyAlignment="1">
      <alignment horizontal="center" vertical="center" wrapText="1"/>
    </xf>
    <xf numFmtId="0" fontId="102" fillId="19" borderId="0" xfId="89" applyFont="1" applyFill="1" applyAlignment="1">
      <alignment horizontal="center"/>
    </xf>
    <xf numFmtId="0" fontId="103" fillId="19" borderId="0" xfId="89" applyFont="1" applyFill="1"/>
    <xf numFmtId="0" fontId="104" fillId="0" borderId="0" xfId="89" applyFont="1" applyAlignment="1">
      <alignment horizontal="center"/>
    </xf>
    <xf numFmtId="0" fontId="104" fillId="19" borderId="0" xfId="89" applyFont="1" applyFill="1"/>
    <xf numFmtId="0" fontId="105" fillId="0" borderId="0" xfId="89" applyFont="1" applyAlignment="1">
      <alignment horizontal="center"/>
    </xf>
    <xf numFmtId="0" fontId="105" fillId="0" borderId="0" xfId="89" applyFont="1"/>
    <xf numFmtId="0" fontId="65" fillId="28" borderId="51" xfId="43" applyFont="1" applyFill="1" applyBorder="1" applyAlignment="1" applyProtection="1">
      <alignment horizontal="center" vertical="center" wrapText="1"/>
      <protection locked="0"/>
    </xf>
    <xf numFmtId="44" fontId="9" fillId="0" borderId="3" xfId="7" applyFont="1" applyFill="1" applyBorder="1" applyAlignment="1">
      <alignment horizontal="center" vertical="center"/>
    </xf>
    <xf numFmtId="0" fontId="17" fillId="30" borderId="19" xfId="39" applyFont="1" applyFill="1" applyBorder="1" applyAlignment="1">
      <alignment vertical="center" wrapText="1"/>
    </xf>
    <xf numFmtId="0" fontId="17" fillId="30" borderId="20" xfId="39" applyFont="1" applyFill="1" applyBorder="1" applyAlignment="1">
      <alignment vertical="center" wrapText="1"/>
    </xf>
    <xf numFmtId="0" fontId="118" fillId="28" borderId="46" xfId="43" applyFont="1" applyFill="1" applyBorder="1" applyAlignment="1" applyProtection="1">
      <alignment horizontal="center" vertical="center" wrapText="1"/>
      <protection locked="0"/>
    </xf>
    <xf numFmtId="0" fontId="108" fillId="0" borderId="46" xfId="43" applyFont="1" applyBorder="1" applyAlignment="1">
      <alignment horizontal="center" vertical="center" wrapText="1"/>
    </xf>
    <xf numFmtId="0" fontId="19" fillId="0" borderId="55" xfId="43" applyFont="1" applyBorder="1" applyAlignment="1">
      <alignment horizontal="center" vertical="center" wrapText="1"/>
    </xf>
    <xf numFmtId="0" fontId="19" fillId="0" borderId="53" xfId="43" applyFont="1" applyBorder="1" applyAlignment="1">
      <alignment horizontal="center" vertical="center" wrapText="1"/>
    </xf>
    <xf numFmtId="165" fontId="9" fillId="28" borderId="2" xfId="43" applyNumberFormat="1" applyFont="1" applyFill="1" applyBorder="1" applyAlignment="1" applyProtection="1">
      <alignment horizontal="center" vertical="center"/>
      <protection locked="0"/>
    </xf>
    <xf numFmtId="0" fontId="19" fillId="0" borderId="49" xfId="43" applyFont="1" applyBorder="1" applyAlignment="1">
      <alignment horizontal="center" vertical="center" wrapText="1"/>
    </xf>
    <xf numFmtId="0" fontId="19" fillId="0" borderId="58" xfId="43" applyFont="1" applyBorder="1" applyAlignment="1">
      <alignment horizontal="center" vertical="center" wrapText="1"/>
    </xf>
    <xf numFmtId="44" fontId="19" fillId="0" borderId="11" xfId="1" applyFont="1" applyBorder="1" applyAlignment="1">
      <alignment horizontal="center" vertical="center" wrapText="1"/>
    </xf>
    <xf numFmtId="0" fontId="65" fillId="28" borderId="2" xfId="43" applyFont="1" applyFill="1" applyBorder="1" applyAlignment="1" applyProtection="1">
      <alignment horizontal="center" vertical="center" wrapText="1"/>
      <protection locked="0"/>
    </xf>
    <xf numFmtId="0" fontId="118" fillId="28" borderId="2" xfId="43" applyFont="1" applyFill="1" applyBorder="1" applyAlignment="1" applyProtection="1">
      <alignment horizontal="center" vertical="center" wrapText="1"/>
      <protection locked="0"/>
    </xf>
    <xf numFmtId="44" fontId="91" fillId="41" borderId="2" xfId="1" applyFont="1" applyFill="1" applyBorder="1" applyAlignment="1">
      <alignment horizontal="right" vertical="center"/>
    </xf>
    <xf numFmtId="44" fontId="19" fillId="41" borderId="2" xfId="1" applyFont="1" applyFill="1" applyBorder="1" applyAlignment="1">
      <alignment horizontal="center" vertical="center" wrapText="1"/>
    </xf>
    <xf numFmtId="44" fontId="19" fillId="41" borderId="11" xfId="1" applyFont="1" applyFill="1" applyBorder="1" applyAlignment="1">
      <alignment horizontal="center" vertical="center" wrapText="1"/>
    </xf>
    <xf numFmtId="0" fontId="91" fillId="0" borderId="0" xfId="0" applyFont="1" applyAlignment="1">
      <alignment horizontal="center" vertical="center"/>
    </xf>
    <xf numFmtId="0" fontId="91" fillId="0" borderId="0" xfId="0" applyFont="1" applyAlignment="1">
      <alignment horizontal="center" vertical="center" wrapText="1"/>
    </xf>
    <xf numFmtId="44" fontId="91" fillId="0" borderId="0" xfId="1" applyFont="1" applyFill="1" applyBorder="1" applyAlignment="1">
      <alignment horizontal="right" vertical="center"/>
    </xf>
    <xf numFmtId="44" fontId="9" fillId="26" borderId="11" xfId="43" applyNumberFormat="1" applyFont="1" applyFill="1" applyBorder="1" applyAlignment="1">
      <alignment horizontal="center" vertical="center"/>
    </xf>
    <xf numFmtId="44" fontId="76" fillId="0" borderId="2" xfId="43" applyNumberFormat="1" applyFont="1" applyBorder="1" applyAlignment="1">
      <alignment horizontal="center" vertical="center"/>
    </xf>
    <xf numFmtId="44" fontId="18" fillId="15" borderId="11" xfId="43" applyNumberFormat="1" applyFont="1" applyFill="1" applyBorder="1" applyAlignment="1">
      <alignment horizontal="center" vertical="center"/>
    </xf>
    <xf numFmtId="44" fontId="76" fillId="32" borderId="2" xfId="43" applyNumberFormat="1" applyFont="1" applyFill="1" applyBorder="1" applyAlignment="1">
      <alignment horizontal="center" vertical="center"/>
    </xf>
    <xf numFmtId="0" fontId="78" fillId="30" borderId="0" xfId="43" applyFont="1" applyFill="1" applyAlignment="1">
      <alignment horizontal="center"/>
    </xf>
    <xf numFmtId="44" fontId="18" fillId="0" borderId="11" xfId="43" applyNumberFormat="1" applyFont="1" applyBorder="1" applyAlignment="1">
      <alignment horizontal="center" vertical="center"/>
    </xf>
    <xf numFmtId="44" fontId="18" fillId="16" borderId="11" xfId="43" applyNumberFormat="1" applyFont="1" applyFill="1" applyBorder="1" applyAlignment="1">
      <alignment horizontal="center" vertical="center"/>
    </xf>
    <xf numFmtId="44" fontId="18" fillId="37" borderId="11" xfId="43" applyNumberFormat="1" applyFont="1" applyFill="1" applyBorder="1" applyAlignment="1">
      <alignment horizontal="center" vertical="center"/>
    </xf>
    <xf numFmtId="0" fontId="12" fillId="15" borderId="2" xfId="43" applyFont="1" applyFill="1" applyBorder="1" applyAlignment="1">
      <alignment horizontal="center"/>
    </xf>
    <xf numFmtId="0" fontId="12" fillId="16" borderId="2" xfId="43" applyFont="1" applyFill="1" applyBorder="1" applyAlignment="1">
      <alignment horizontal="center"/>
    </xf>
    <xf numFmtId="0" fontId="12" fillId="10" borderId="2" xfId="43" applyFont="1" applyFill="1" applyBorder="1" applyAlignment="1">
      <alignment horizontal="center"/>
    </xf>
    <xf numFmtId="0" fontId="12" fillId="37" borderId="2" xfId="43" applyFont="1" applyFill="1" applyBorder="1" applyAlignment="1">
      <alignment horizontal="center"/>
    </xf>
    <xf numFmtId="44" fontId="122" fillId="0" borderId="2" xfId="43" applyNumberFormat="1" applyFont="1" applyBorder="1" applyAlignment="1">
      <alignment vertical="center"/>
    </xf>
    <xf numFmtId="44" fontId="18" fillId="10" borderId="11" xfId="43" applyNumberFormat="1" applyFont="1" applyFill="1" applyBorder="1" applyAlignment="1">
      <alignment horizontal="center" vertical="center"/>
    </xf>
    <xf numFmtId="165" fontId="87" fillId="24" borderId="2" xfId="39" applyNumberFormat="1" applyFont="1" applyFill="1" applyBorder="1" applyAlignment="1">
      <alignment horizontal="center" vertical="center" wrapText="1"/>
    </xf>
    <xf numFmtId="4" fontId="35" fillId="0" borderId="0" xfId="91" applyNumberFormat="1" applyFont="1"/>
    <xf numFmtId="0" fontId="1" fillId="0" borderId="0" xfId="91"/>
    <xf numFmtId="4" fontId="40" fillId="0" borderId="0" xfId="91" applyNumberFormat="1" applyFont="1" applyAlignment="1">
      <alignment wrapText="1"/>
    </xf>
    <xf numFmtId="0" fontId="38" fillId="39" borderId="2" xfId="91" applyFont="1" applyFill="1" applyBorder="1" applyAlignment="1">
      <alignment horizontal="center" vertical="center" wrapText="1"/>
    </xf>
    <xf numFmtId="10" fontId="38" fillId="39" borderId="2" xfId="91" applyNumberFormat="1" applyFont="1" applyFill="1" applyBorder="1" applyAlignment="1">
      <alignment horizontal="center" vertical="center" wrapText="1"/>
    </xf>
    <xf numFmtId="44" fontId="38" fillId="39" borderId="2" xfId="91" applyNumberFormat="1" applyFont="1" applyFill="1" applyBorder="1" applyAlignment="1">
      <alignment horizontal="center" vertical="center" wrapText="1"/>
    </xf>
    <xf numFmtId="0" fontId="42" fillId="43" borderId="2" xfId="91" applyFont="1" applyFill="1" applyBorder="1" applyAlignment="1">
      <alignment horizontal="center" vertical="center" wrapText="1"/>
    </xf>
    <xf numFmtId="0" fontId="38" fillId="43" borderId="2" xfId="91" applyFont="1" applyFill="1" applyBorder="1" applyAlignment="1">
      <alignment horizontal="center" vertical="center" wrapText="1"/>
    </xf>
    <xf numFmtId="0" fontId="41" fillId="43" borderId="2" xfId="91" applyFont="1" applyFill="1" applyBorder="1" applyAlignment="1">
      <alignment vertical="center" wrapText="1"/>
    </xf>
    <xf numFmtId="44" fontId="41" fillId="43" borderId="2" xfId="91" applyNumberFormat="1" applyFont="1" applyFill="1" applyBorder="1" applyAlignment="1">
      <alignment vertical="center" wrapText="1"/>
    </xf>
    <xf numFmtId="0" fontId="37" fillId="0" borderId="2" xfId="91" applyFont="1" applyBorder="1" applyAlignment="1">
      <alignment horizontal="center" vertical="center" wrapText="1"/>
    </xf>
    <xf numFmtId="0" fontId="37" fillId="0" borderId="2" xfId="91" applyFont="1" applyBorder="1" applyAlignment="1">
      <alignment horizontal="left" vertical="center" wrapText="1"/>
    </xf>
    <xf numFmtId="10" fontId="37" fillId="0" borderId="2" xfId="91" applyNumberFormat="1" applyFont="1" applyBorder="1" applyAlignment="1">
      <alignment horizontal="center" vertical="center" wrapText="1"/>
    </xf>
    <xf numFmtId="44" fontId="37" fillId="0" borderId="2" xfId="91" applyNumberFormat="1" applyFont="1" applyBorder="1" applyAlignment="1">
      <alignment horizontal="center" vertical="center" wrapText="1"/>
    </xf>
    <xf numFmtId="0" fontId="43" fillId="0" borderId="46" xfId="92" applyFont="1" applyBorder="1" applyAlignment="1">
      <alignment horizontal="right" vertical="center" wrapText="1"/>
    </xf>
    <xf numFmtId="165" fontId="44" fillId="0" borderId="2" xfId="91" applyNumberFormat="1" applyFont="1" applyBorder="1" applyAlignment="1">
      <alignment horizontal="center" vertical="center" wrapText="1"/>
    </xf>
    <xf numFmtId="10" fontId="44" fillId="0" borderId="2" xfId="91" applyNumberFormat="1" applyFont="1" applyBorder="1" applyAlignment="1">
      <alignment horizontal="center" vertical="center" wrapText="1"/>
    </xf>
    <xf numFmtId="44" fontId="44" fillId="0" borderId="2" xfId="91" applyNumberFormat="1" applyFont="1" applyBorder="1" applyAlignment="1">
      <alignment horizontal="center" vertical="center" wrapText="1"/>
    </xf>
    <xf numFmtId="0" fontId="38" fillId="42" borderId="2" xfId="91" applyFont="1" applyFill="1" applyBorder="1" applyAlignment="1">
      <alignment vertical="center" wrapText="1"/>
    </xf>
    <xf numFmtId="44" fontId="38" fillId="42" borderId="2" xfId="91" applyNumberFormat="1" applyFont="1" applyFill="1" applyBorder="1" applyAlignment="1">
      <alignment vertical="center" wrapText="1"/>
    </xf>
    <xf numFmtId="0" fontId="37" fillId="0" borderId="2" xfId="93" applyFont="1" applyBorder="1" applyAlignment="1">
      <alignment horizontal="center" vertical="center" wrapText="1"/>
    </xf>
    <xf numFmtId="0" fontId="46" fillId="0" borderId="2" xfId="93" applyFont="1" applyBorder="1" applyAlignment="1">
      <alignment horizontal="center" vertical="center" wrapText="1"/>
    </xf>
    <xf numFmtId="0" fontId="47" fillId="0" borderId="2" xfId="93" applyFont="1" applyBorder="1" applyAlignment="1">
      <alignment horizontal="center" vertical="center" wrapText="1"/>
    </xf>
    <xf numFmtId="44" fontId="37" fillId="0" borderId="2" xfId="91" applyNumberFormat="1" applyFont="1" applyBorder="1" applyAlignment="1">
      <alignment vertical="center" wrapText="1"/>
    </xf>
    <xf numFmtId="0" fontId="48" fillId="0" borderId="2" xfId="93" applyFont="1" applyBorder="1" applyAlignment="1">
      <alignment horizontal="center" vertical="center" wrapText="1"/>
    </xf>
    <xf numFmtId="0" fontId="37" fillId="43" borderId="2" xfId="91" applyFont="1" applyFill="1" applyBorder="1" applyAlignment="1">
      <alignment horizontal="right" vertical="center" wrapText="1"/>
    </xf>
    <xf numFmtId="10" fontId="37" fillId="43" borderId="2" xfId="91" applyNumberFormat="1" applyFont="1" applyFill="1" applyBorder="1" applyAlignment="1">
      <alignment horizontal="center" vertical="center" wrapText="1"/>
    </xf>
    <xf numFmtId="44" fontId="37" fillId="43" borderId="2" xfId="91" applyNumberFormat="1" applyFont="1" applyFill="1" applyBorder="1" applyAlignment="1">
      <alignment horizontal="center" vertical="center" wrapText="1"/>
    </xf>
    <xf numFmtId="0" fontId="47" fillId="22" borderId="2" xfId="91" applyFont="1" applyFill="1" applyBorder="1" applyAlignment="1">
      <alignment vertical="center" wrapText="1"/>
    </xf>
    <xf numFmtId="0" fontId="41" fillId="42" borderId="2" xfId="91" applyFont="1" applyFill="1" applyBorder="1" applyAlignment="1">
      <alignment vertical="center" wrapText="1"/>
    </xf>
    <xf numFmtId="44" fontId="41" fillId="42" borderId="2" xfId="91" applyNumberFormat="1" applyFont="1" applyFill="1" applyBorder="1" applyAlignment="1">
      <alignment vertical="center" wrapText="1"/>
    </xf>
    <xf numFmtId="0" fontId="37" fillId="18" borderId="2" xfId="93" applyFont="1" applyFill="1" applyBorder="1" applyAlignment="1">
      <alignment horizontal="center" vertical="center" wrapText="1"/>
    </xf>
    <xf numFmtId="0" fontId="37" fillId="18" borderId="2" xfId="93" applyFont="1" applyFill="1" applyBorder="1" applyAlignment="1">
      <alignment horizontal="left" vertical="center" wrapText="1"/>
    </xf>
    <xf numFmtId="10" fontId="37" fillId="18" borderId="2" xfId="91" applyNumberFormat="1" applyFont="1" applyFill="1" applyBorder="1" applyAlignment="1">
      <alignment horizontal="center" vertical="center" wrapText="1"/>
    </xf>
    <xf numFmtId="44" fontId="37" fillId="18" borderId="2" xfId="91" applyNumberFormat="1" applyFont="1" applyFill="1" applyBorder="1" applyAlignment="1">
      <alignment horizontal="center" vertical="center" wrapText="1"/>
    </xf>
    <xf numFmtId="44" fontId="49" fillId="18" borderId="2" xfId="91" applyNumberFormat="1" applyFont="1" applyFill="1" applyBorder="1" applyAlignment="1">
      <alignment horizontal="center" vertical="center" wrapText="1"/>
    </xf>
    <xf numFmtId="165" fontId="119" fillId="0" borderId="0" xfId="91" applyNumberFormat="1" applyFont="1"/>
    <xf numFmtId="44" fontId="43" fillId="18" borderId="2" xfId="91" applyNumberFormat="1" applyFont="1" applyFill="1" applyBorder="1" applyAlignment="1">
      <alignment horizontal="center" vertical="center" wrapText="1"/>
    </xf>
    <xf numFmtId="0" fontId="47" fillId="42" borderId="2" xfId="91" applyFont="1" applyFill="1" applyBorder="1" applyAlignment="1">
      <alignment vertical="center" wrapText="1"/>
    </xf>
    <xf numFmtId="0" fontId="47" fillId="42" borderId="2" xfId="91" applyFont="1" applyFill="1" applyBorder="1" applyAlignment="1">
      <alignment horizontal="right" vertical="center" wrapText="1"/>
    </xf>
    <xf numFmtId="10" fontId="37" fillId="42" borderId="2" xfId="91" applyNumberFormat="1" applyFont="1" applyFill="1" applyBorder="1" applyAlignment="1">
      <alignment horizontal="center" vertical="center" wrapText="1"/>
    </xf>
    <xf numFmtId="44" fontId="47" fillId="42" borderId="2" xfId="91" applyNumberFormat="1" applyFont="1" applyFill="1" applyBorder="1" applyAlignment="1">
      <alignment horizontal="center" vertical="center" wrapText="1"/>
    </xf>
    <xf numFmtId="0" fontId="37" fillId="22" borderId="2" xfId="91" applyFont="1" applyFill="1" applyBorder="1" applyAlignment="1">
      <alignment vertical="center" wrapText="1"/>
    </xf>
    <xf numFmtId="0" fontId="1" fillId="42" borderId="2" xfId="91" applyFill="1" applyBorder="1" applyAlignment="1">
      <alignment vertical="center" wrapText="1"/>
    </xf>
    <xf numFmtId="44" fontId="1" fillId="42" borderId="2" xfId="91" applyNumberFormat="1" applyFill="1" applyBorder="1" applyAlignment="1">
      <alignment vertical="center" wrapText="1"/>
    </xf>
    <xf numFmtId="0" fontId="37" fillId="18" borderId="2" xfId="91" applyFont="1" applyFill="1" applyBorder="1" applyAlignment="1">
      <alignment horizontal="center" vertical="center" wrapText="1"/>
    </xf>
    <xf numFmtId="0" fontId="37" fillId="18" borderId="2" xfId="91" applyFont="1" applyFill="1" applyBorder="1" applyAlignment="1">
      <alignment horizontal="left" vertical="center" wrapText="1"/>
    </xf>
    <xf numFmtId="10" fontId="43" fillId="18" borderId="2" xfId="91" applyNumberFormat="1" applyFont="1" applyFill="1" applyBorder="1" applyAlignment="1">
      <alignment horizontal="center" vertical="center" wrapText="1"/>
    </xf>
    <xf numFmtId="0" fontId="38" fillId="18" borderId="2" xfId="91" applyFont="1" applyFill="1" applyBorder="1" applyAlignment="1">
      <alignment horizontal="left" vertical="center" wrapText="1"/>
    </xf>
    <xf numFmtId="0" fontId="43" fillId="0" borderId="2" xfId="91" applyFont="1" applyBorder="1" applyAlignment="1">
      <alignment horizontal="center" vertical="center" wrapText="1"/>
    </xf>
    <xf numFmtId="0" fontId="43" fillId="0" borderId="2" xfId="91" applyFont="1" applyBorder="1" applyAlignment="1">
      <alignment horizontal="left" vertical="center" wrapText="1"/>
    </xf>
    <xf numFmtId="10" fontId="43" fillId="0" borderId="2" xfId="91" applyNumberFormat="1" applyFont="1" applyBorder="1" applyAlignment="1">
      <alignment horizontal="center" vertical="center" wrapText="1"/>
    </xf>
    <xf numFmtId="0" fontId="37" fillId="42" borderId="2" xfId="91" applyFont="1" applyFill="1" applyBorder="1" applyAlignment="1">
      <alignment vertical="center" wrapText="1"/>
    </xf>
    <xf numFmtId="44" fontId="51" fillId="42" borderId="2" xfId="91" applyNumberFormat="1" applyFont="1" applyFill="1" applyBorder="1" applyAlignment="1">
      <alignment vertical="center" wrapText="1"/>
    </xf>
    <xf numFmtId="0" fontId="46" fillId="0" borderId="2" xfId="91" applyFont="1" applyBorder="1" applyAlignment="1">
      <alignment horizontal="left" vertical="center" wrapText="1"/>
    </xf>
    <xf numFmtId="0" fontId="37" fillId="0" borderId="8" xfId="91" applyFont="1" applyBorder="1" applyAlignment="1">
      <alignment horizontal="center" vertical="center" wrapText="1"/>
    </xf>
    <xf numFmtId="0" fontId="46" fillId="0" borderId="8" xfId="91" applyFont="1" applyBorder="1" applyAlignment="1">
      <alignment horizontal="left" vertical="center" wrapText="1"/>
    </xf>
    <xf numFmtId="10" fontId="37" fillId="0" borderId="8" xfId="91" applyNumberFormat="1" applyFont="1" applyBorder="1" applyAlignment="1">
      <alignment horizontal="center" vertical="center" wrapText="1"/>
    </xf>
    <xf numFmtId="0" fontId="37" fillId="0" borderId="38" xfId="91" applyFont="1" applyBorder="1" applyAlignment="1">
      <alignment horizontal="center" vertical="center" wrapText="1"/>
    </xf>
    <xf numFmtId="0" fontId="37" fillId="0" borderId="38" xfId="91" applyFont="1" applyBorder="1" applyAlignment="1">
      <alignment horizontal="left" vertical="center" wrapText="1"/>
    </xf>
    <xf numFmtId="10" fontId="37" fillId="0" borderId="38" xfId="91" applyNumberFormat="1" applyFont="1" applyBorder="1" applyAlignment="1">
      <alignment horizontal="center" vertical="center" wrapText="1"/>
    </xf>
    <xf numFmtId="44" fontId="37" fillId="0" borderId="38" xfId="91" applyNumberFormat="1" applyFont="1" applyBorder="1" applyAlignment="1">
      <alignment horizontal="center" vertical="center" wrapText="1"/>
    </xf>
    <xf numFmtId="44" fontId="37" fillId="0" borderId="11" xfId="91" applyNumberFormat="1" applyFont="1" applyBorder="1" applyAlignment="1">
      <alignment horizontal="center" vertical="center" wrapText="1"/>
    </xf>
    <xf numFmtId="0" fontId="37" fillId="18" borderId="8" xfId="91" applyFont="1" applyFill="1" applyBorder="1" applyAlignment="1">
      <alignment horizontal="center" vertical="center" wrapText="1"/>
    </xf>
    <xf numFmtId="0" fontId="37" fillId="18" borderId="8" xfId="91" applyFont="1" applyFill="1" applyBorder="1" applyAlignment="1">
      <alignment horizontal="left" vertical="center" wrapText="1"/>
    </xf>
    <xf numFmtId="10" fontId="37" fillId="18" borderId="8" xfId="91" applyNumberFormat="1" applyFont="1" applyFill="1" applyBorder="1" applyAlignment="1">
      <alignment horizontal="center" vertical="center" wrapText="1"/>
    </xf>
    <xf numFmtId="44" fontId="37" fillId="18" borderId="8" xfId="91" applyNumberFormat="1" applyFont="1" applyFill="1" applyBorder="1" applyAlignment="1">
      <alignment horizontal="center" vertical="center" wrapText="1"/>
    </xf>
    <xf numFmtId="0" fontId="37" fillId="18" borderId="38" xfId="91" applyFont="1" applyFill="1" applyBorder="1" applyAlignment="1">
      <alignment horizontal="center" vertical="center" wrapText="1"/>
    </xf>
    <xf numFmtId="0" fontId="37" fillId="18" borderId="38" xfId="91" applyFont="1" applyFill="1" applyBorder="1" applyAlignment="1">
      <alignment horizontal="left" vertical="center" wrapText="1"/>
    </xf>
    <xf numFmtId="10" fontId="37" fillId="18" borderId="38" xfId="91" applyNumberFormat="1" applyFont="1" applyFill="1" applyBorder="1" applyAlignment="1">
      <alignment horizontal="center" vertical="center" wrapText="1"/>
    </xf>
    <xf numFmtId="44" fontId="37" fillId="18" borderId="38" xfId="91" applyNumberFormat="1" applyFont="1" applyFill="1" applyBorder="1" applyAlignment="1">
      <alignment horizontal="center" vertical="center" wrapText="1"/>
    </xf>
    <xf numFmtId="0" fontId="43" fillId="42" borderId="11" xfId="91" applyFont="1" applyFill="1" applyBorder="1" applyAlignment="1">
      <alignment vertical="center" wrapText="1"/>
    </xf>
    <xf numFmtId="0" fontId="52" fillId="42" borderId="11" xfId="91" applyFont="1" applyFill="1" applyBorder="1" applyAlignment="1">
      <alignment horizontal="right" vertical="center" wrapText="1"/>
    </xf>
    <xf numFmtId="10" fontId="43" fillId="42" borderId="11" xfId="91" applyNumberFormat="1" applyFont="1" applyFill="1" applyBorder="1" applyAlignment="1">
      <alignment horizontal="center" vertical="center" wrapText="1"/>
    </xf>
    <xf numFmtId="44" fontId="52" fillId="42" borderId="11" xfId="91" applyNumberFormat="1" applyFont="1" applyFill="1" applyBorder="1" applyAlignment="1">
      <alignment horizontal="center" vertical="center" wrapText="1"/>
    </xf>
    <xf numFmtId="0" fontId="37" fillId="0" borderId="31" xfId="91" applyFont="1" applyBorder="1" applyAlignment="1">
      <alignment horizontal="center" vertical="center" wrapText="1"/>
    </xf>
    <xf numFmtId="0" fontId="46" fillId="0" borderId="31" xfId="91" applyFont="1" applyBorder="1" applyAlignment="1">
      <alignment horizontal="left" vertical="center" wrapText="1"/>
    </xf>
    <xf numFmtId="173" fontId="37" fillId="0" borderId="31" xfId="91" applyNumberFormat="1" applyFont="1" applyBorder="1" applyAlignment="1">
      <alignment horizontal="center" vertical="center" wrapText="1"/>
    </xf>
    <xf numFmtId="0" fontId="43" fillId="0" borderId="38" xfId="91" applyFont="1" applyBorder="1" applyAlignment="1">
      <alignment horizontal="left" vertical="center" wrapText="1"/>
    </xf>
    <xf numFmtId="174" fontId="37" fillId="0" borderId="38" xfId="91" applyNumberFormat="1" applyFont="1" applyBorder="1" applyAlignment="1">
      <alignment horizontal="center" vertical="center" wrapText="1"/>
    </xf>
    <xf numFmtId="0" fontId="37" fillId="0" borderId="11" xfId="91" applyFont="1" applyBorder="1" applyAlignment="1">
      <alignment horizontal="center" vertical="center" wrapText="1"/>
    </xf>
    <xf numFmtId="0" fontId="43" fillId="0" borderId="11" xfId="91" applyFont="1" applyBorder="1" applyAlignment="1">
      <alignment horizontal="left" vertical="center" wrapText="1"/>
    </xf>
    <xf numFmtId="174" fontId="37" fillId="0" borderId="11" xfId="91" applyNumberFormat="1" applyFont="1" applyBorder="1" applyAlignment="1">
      <alignment horizontal="center" vertical="center" wrapText="1"/>
    </xf>
    <xf numFmtId="0" fontId="43" fillId="43" borderId="2" xfId="91" applyFont="1" applyFill="1" applyBorder="1" applyAlignment="1">
      <alignment horizontal="right" vertical="center" wrapText="1"/>
    </xf>
    <xf numFmtId="10" fontId="43" fillId="43" borderId="2" xfId="91" applyNumberFormat="1" applyFont="1" applyFill="1" applyBorder="1" applyAlignment="1">
      <alignment horizontal="center" vertical="center" wrapText="1"/>
    </xf>
    <xf numFmtId="44" fontId="43" fillId="43" borderId="2" xfId="91" applyNumberFormat="1" applyFont="1" applyFill="1" applyBorder="1" applyAlignment="1">
      <alignment horizontal="center" vertical="center" wrapText="1"/>
    </xf>
    <xf numFmtId="0" fontId="37" fillId="0" borderId="2" xfId="94" applyFont="1" applyBorder="1" applyAlignment="1">
      <alignment horizontal="left" vertical="center" wrapText="1"/>
    </xf>
    <xf numFmtId="0" fontId="37" fillId="18" borderId="2" xfId="94" applyFont="1" applyFill="1" applyBorder="1" applyAlignment="1">
      <alignment horizontal="left" vertical="center" wrapText="1"/>
    </xf>
    <xf numFmtId="0" fontId="37" fillId="0" borderId="8" xfId="94" applyFont="1" applyBorder="1" applyAlignment="1">
      <alignment horizontal="left" vertical="center" wrapText="1"/>
    </xf>
    <xf numFmtId="4" fontId="53" fillId="0" borderId="0" xfId="91" applyNumberFormat="1" applyFont="1" applyAlignment="1">
      <alignment horizontal="center" vertical="center" wrapText="1"/>
    </xf>
    <xf numFmtId="0" fontId="37" fillId="18" borderId="38" xfId="94" applyFont="1" applyFill="1" applyBorder="1" applyAlignment="1">
      <alignment horizontal="left" vertical="center" wrapText="1"/>
    </xf>
    <xf numFmtId="0" fontId="37" fillId="18" borderId="11" xfId="91" applyFont="1" applyFill="1" applyBorder="1" applyAlignment="1">
      <alignment horizontal="center" vertical="center" wrapText="1"/>
    </xf>
    <xf numFmtId="0" fontId="37" fillId="18" borderId="11" xfId="94" applyFont="1" applyFill="1" applyBorder="1" applyAlignment="1">
      <alignment horizontal="left" vertical="center" wrapText="1"/>
    </xf>
    <xf numFmtId="10" fontId="37" fillId="18" borderId="11" xfId="91" applyNumberFormat="1" applyFont="1" applyFill="1" applyBorder="1" applyAlignment="1">
      <alignment horizontal="center" vertical="center" wrapText="1"/>
    </xf>
    <xf numFmtId="44" fontId="37" fillId="18" borderId="11" xfId="91" applyNumberFormat="1" applyFont="1" applyFill="1" applyBorder="1" applyAlignment="1">
      <alignment horizontal="center" vertical="center" wrapText="1"/>
    </xf>
    <xf numFmtId="4" fontId="33" fillId="0" borderId="0" xfId="91" applyNumberFormat="1" applyFont="1" applyAlignment="1">
      <alignment wrapText="1"/>
    </xf>
    <xf numFmtId="0" fontId="37" fillId="18" borderId="8" xfId="94" applyFont="1" applyFill="1" applyBorder="1" applyAlignment="1">
      <alignment horizontal="left" vertical="center" wrapText="1"/>
    </xf>
    <xf numFmtId="0" fontId="42" fillId="43" borderId="11" xfId="91" applyFont="1" applyFill="1" applyBorder="1" applyAlignment="1">
      <alignment horizontal="center" vertical="center" wrapText="1"/>
    </xf>
    <xf numFmtId="0" fontId="37" fillId="43" borderId="11" xfId="91" applyFont="1" applyFill="1" applyBorder="1" applyAlignment="1">
      <alignment horizontal="right" vertical="center" wrapText="1"/>
    </xf>
    <xf numFmtId="10" fontId="37" fillId="43" borderId="11" xfId="91" applyNumberFormat="1" applyFont="1" applyFill="1" applyBorder="1" applyAlignment="1">
      <alignment horizontal="center" vertical="center" wrapText="1"/>
    </xf>
    <xf numFmtId="44" fontId="37" fillId="43" borderId="11" xfId="91" applyNumberFormat="1" applyFont="1" applyFill="1" applyBorder="1" applyAlignment="1">
      <alignment horizontal="center" vertical="center" wrapText="1"/>
    </xf>
    <xf numFmtId="10" fontId="38" fillId="40" borderId="2" xfId="91" applyNumberFormat="1" applyFont="1" applyFill="1" applyBorder="1" applyAlignment="1">
      <alignment horizontal="center" vertical="center" wrapText="1"/>
    </xf>
    <xf numFmtId="44" fontId="54" fillId="40" borderId="2" xfId="91" applyNumberFormat="1" applyFont="1" applyFill="1" applyBorder="1" applyAlignment="1">
      <alignment horizontal="center" vertical="center" wrapText="1"/>
    </xf>
    <xf numFmtId="44" fontId="1" fillId="0" borderId="0" xfId="91" applyNumberFormat="1"/>
    <xf numFmtId="0" fontId="1" fillId="0" borderId="2" xfId="91" applyBorder="1"/>
    <xf numFmtId="44" fontId="37" fillId="43" borderId="2" xfId="7" applyFont="1" applyFill="1" applyBorder="1" applyAlignment="1">
      <alignment horizontal="center" vertical="center" wrapText="1"/>
    </xf>
    <xf numFmtId="10" fontId="38" fillId="43" borderId="2" xfId="91" applyNumberFormat="1" applyFont="1" applyFill="1" applyBorder="1" applyAlignment="1">
      <alignment horizontal="center" vertical="center" wrapText="1"/>
    </xf>
    <xf numFmtId="44" fontId="38" fillId="43" borderId="2" xfId="91" applyNumberFormat="1" applyFont="1" applyFill="1" applyBorder="1" applyAlignment="1">
      <alignment horizontal="center" vertical="center" wrapText="1"/>
    </xf>
    <xf numFmtId="0" fontId="124" fillId="10" borderId="11" xfId="95" applyFont="1" applyFill="1" applyBorder="1" applyAlignment="1">
      <alignment horizontal="center" vertical="center" wrapText="1"/>
    </xf>
    <xf numFmtId="0" fontId="56" fillId="0" borderId="11" xfId="95" applyFont="1" applyBorder="1" applyAlignment="1">
      <alignment horizontal="center" vertical="center" wrapText="1"/>
    </xf>
    <xf numFmtId="0" fontId="56" fillId="0" borderId="2" xfId="95" applyFont="1" applyBorder="1" applyAlignment="1">
      <alignment horizontal="center" vertical="center" wrapText="1"/>
    </xf>
    <xf numFmtId="0" fontId="38" fillId="0" borderId="0" xfId="91" applyFont="1" applyAlignment="1">
      <alignment horizontal="right" vertical="center" wrapText="1"/>
    </xf>
    <xf numFmtId="0" fontId="1" fillId="0" borderId="0" xfId="91" applyAlignment="1">
      <alignment horizontal="right" vertical="center" wrapText="1"/>
    </xf>
    <xf numFmtId="10" fontId="38" fillId="0" borderId="0" xfId="91" applyNumberFormat="1" applyFont="1" applyAlignment="1">
      <alignment horizontal="center" vertical="center" wrapText="1"/>
    </xf>
    <xf numFmtId="44" fontId="38" fillId="0" borderId="0" xfId="91" applyNumberFormat="1" applyFont="1" applyAlignment="1">
      <alignment horizontal="center" vertical="center" wrapText="1"/>
    </xf>
    <xf numFmtId="0" fontId="37" fillId="0" borderId="0" xfId="91" applyFont="1" applyAlignment="1">
      <alignment horizontal="center" vertical="center" wrapText="1"/>
    </xf>
    <xf numFmtId="0" fontId="37" fillId="0" borderId="0" xfId="91" applyFont="1" applyAlignment="1">
      <alignment horizontal="left" vertical="center" wrapText="1"/>
    </xf>
    <xf numFmtId="10" fontId="37" fillId="0" borderId="0" xfId="91" applyNumberFormat="1" applyFont="1" applyAlignment="1">
      <alignment horizontal="center" vertical="center" wrapText="1"/>
    </xf>
    <xf numFmtId="44" fontId="37" fillId="0" borderId="0" xfId="91" applyNumberFormat="1" applyFont="1" applyAlignment="1">
      <alignment horizontal="center" vertical="center" wrapText="1"/>
    </xf>
    <xf numFmtId="0" fontId="56" fillId="21" borderId="11" xfId="95" applyFont="1" applyFill="1" applyBorder="1" applyAlignment="1">
      <alignment horizontal="center" vertical="center" wrapText="1"/>
    </xf>
    <xf numFmtId="0" fontId="37" fillId="21" borderId="2" xfId="91" applyFont="1" applyFill="1" applyBorder="1" applyAlignment="1">
      <alignment horizontal="center" vertical="center" wrapText="1"/>
    </xf>
    <xf numFmtId="0" fontId="37" fillId="21" borderId="2" xfId="91" applyFont="1" applyFill="1" applyBorder="1" applyAlignment="1">
      <alignment horizontal="left" vertical="center" wrapText="1"/>
    </xf>
    <xf numFmtId="10" fontId="37" fillId="21" borderId="2" xfId="91" applyNumberFormat="1" applyFont="1" applyFill="1" applyBorder="1" applyAlignment="1">
      <alignment horizontal="center" vertical="center" wrapText="1"/>
    </xf>
    <xf numFmtId="44" fontId="37" fillId="21" borderId="2" xfId="91" applyNumberFormat="1" applyFont="1" applyFill="1" applyBorder="1" applyAlignment="1">
      <alignment horizontal="center" vertical="center" wrapText="1"/>
    </xf>
    <xf numFmtId="0" fontId="19" fillId="0" borderId="2" xfId="0" applyFont="1" applyBorder="1" applyAlignment="1">
      <alignment horizontal="justify" vertical="center" wrapText="1"/>
    </xf>
    <xf numFmtId="0" fontId="126" fillId="0" borderId="0" xfId="29" applyFont="1" applyAlignment="1" applyProtection="1">
      <alignment wrapText="1"/>
      <protection locked="0"/>
    </xf>
    <xf numFmtId="165" fontId="126" fillId="0" borderId="0" xfId="29" applyNumberFormat="1" applyFont="1" applyAlignment="1" applyProtection="1">
      <alignment wrapText="1"/>
      <protection locked="0"/>
    </xf>
    <xf numFmtId="0" fontId="19" fillId="0" borderId="2" xfId="29" applyFont="1" applyBorder="1" applyAlignment="1" applyProtection="1">
      <alignment horizontal="center" vertical="center" wrapText="1"/>
      <protection locked="0"/>
    </xf>
    <xf numFmtId="0" fontId="22" fillId="38" borderId="2" xfId="0" applyFont="1" applyFill="1" applyBorder="1" applyAlignment="1">
      <alignment horizontal="justify" vertical="center" wrapText="1"/>
    </xf>
    <xf numFmtId="44" fontId="26" fillId="38" borderId="2" xfId="0" applyNumberFormat="1" applyFont="1" applyFill="1" applyBorder="1" applyAlignment="1">
      <alignment horizontal="center" vertical="center"/>
    </xf>
    <xf numFmtId="0" fontId="0" fillId="24" borderId="0" xfId="0" applyFill="1"/>
    <xf numFmtId="0" fontId="63" fillId="37" borderId="2" xfId="29" applyFont="1" applyFill="1" applyBorder="1" applyAlignment="1" applyProtection="1">
      <alignment horizontal="center" vertical="center" wrapText="1"/>
      <protection locked="0"/>
    </xf>
    <xf numFmtId="0" fontId="9" fillId="15" borderId="2" xfId="43" applyFont="1" applyFill="1" applyBorder="1" applyAlignment="1">
      <alignment horizontal="center" vertical="center" wrapText="1"/>
    </xf>
    <xf numFmtId="44" fontId="12" fillId="0" borderId="0" xfId="43" applyNumberFormat="1" applyFont="1" applyAlignment="1">
      <alignment horizontal="center"/>
    </xf>
    <xf numFmtId="44" fontId="130" fillId="0" borderId="2" xfId="43" applyNumberFormat="1" applyFont="1" applyBorder="1" applyAlignment="1">
      <alignment vertical="center"/>
    </xf>
    <xf numFmtId="0" fontId="26" fillId="38" borderId="11" xfId="0" applyFont="1" applyFill="1" applyBorder="1" applyAlignment="1">
      <alignment horizontal="center" vertical="center" wrapText="1"/>
    </xf>
    <xf numFmtId="0" fontId="26" fillId="40" borderId="11" xfId="43" applyFont="1" applyFill="1" applyBorder="1" applyAlignment="1">
      <alignment horizontal="center" vertical="center" wrapText="1"/>
    </xf>
    <xf numFmtId="0" fontId="12" fillId="0" borderId="13" xfId="43" applyFont="1" applyBorder="1"/>
    <xf numFmtId="0" fontId="131" fillId="0" borderId="2" xfId="43" applyFont="1" applyBorder="1" applyAlignment="1">
      <alignment horizontal="center" vertical="center"/>
    </xf>
    <xf numFmtId="165" fontId="12" fillId="0" borderId="0" xfId="43" applyNumberFormat="1" applyFont="1" applyAlignment="1">
      <alignment horizontal="center"/>
    </xf>
    <xf numFmtId="0" fontId="17" fillId="30" borderId="2" xfId="39" applyFont="1" applyFill="1" applyBorder="1" applyAlignment="1">
      <alignment horizontal="center" vertical="center" wrapText="1"/>
    </xf>
    <xf numFmtId="0" fontId="17" fillId="30" borderId="9" xfId="39" applyFont="1" applyFill="1" applyBorder="1" applyAlignment="1">
      <alignment horizontal="center" vertical="center" wrapText="1"/>
    </xf>
    <xf numFmtId="0" fontId="17" fillId="30" borderId="19" xfId="39" applyFont="1" applyFill="1" applyBorder="1" applyAlignment="1">
      <alignment horizontal="center" vertical="center" wrapText="1"/>
    </xf>
    <xf numFmtId="0" fontId="101" fillId="14" borderId="2" xfId="89" applyFont="1" applyFill="1" applyBorder="1" applyAlignment="1">
      <alignment horizontal="center"/>
    </xf>
    <xf numFmtId="0" fontId="5" fillId="0" borderId="9" xfId="43" applyFont="1" applyBorder="1" applyAlignment="1">
      <alignment horizontal="center" vertical="center" wrapText="1"/>
    </xf>
    <xf numFmtId="0" fontId="5" fillId="0" borderId="20" xfId="43" applyFont="1" applyBorder="1" applyAlignment="1">
      <alignment horizontal="center" vertical="center" wrapText="1"/>
    </xf>
    <xf numFmtId="0" fontId="33" fillId="0" borderId="9" xfId="24" applyFont="1" applyBorder="1" applyAlignment="1">
      <alignment horizontal="center" vertical="center"/>
    </xf>
    <xf numFmtId="0" fontId="33" fillId="0" borderId="19" xfId="24" applyFont="1" applyBorder="1" applyAlignment="1">
      <alignment horizontal="center" vertical="center"/>
    </xf>
    <xf numFmtId="0" fontId="33" fillId="0" borderId="20" xfId="24" applyFont="1" applyBorder="1" applyAlignment="1">
      <alignment horizontal="center" vertical="center"/>
    </xf>
    <xf numFmtId="0" fontId="6" fillId="27" borderId="9" xfId="34" applyFont="1" applyFill="1" applyBorder="1" applyAlignment="1">
      <alignment horizontal="center" vertical="center"/>
    </xf>
    <xf numFmtId="0" fontId="6" fillId="27" borderId="20" xfId="34" applyFont="1" applyFill="1" applyBorder="1" applyAlignment="1">
      <alignment horizontal="center" vertical="center"/>
    </xf>
    <xf numFmtId="0" fontId="6" fillId="27" borderId="19" xfId="34" applyFont="1" applyFill="1" applyBorder="1" applyAlignment="1">
      <alignment horizontal="center" vertical="center"/>
    </xf>
    <xf numFmtId="165" fontId="61" fillId="0" borderId="9" xfId="34" applyNumberFormat="1" applyFont="1" applyBorder="1" applyAlignment="1">
      <alignment horizontal="center" vertical="center"/>
    </xf>
    <xf numFmtId="165" fontId="61" fillId="0" borderId="20" xfId="34" applyNumberFormat="1" applyFont="1" applyBorder="1" applyAlignment="1">
      <alignment horizontal="center" vertical="center"/>
    </xf>
    <xf numFmtId="0" fontId="83" fillId="0" borderId="9" xfId="34" applyFont="1" applyBorder="1" applyAlignment="1">
      <alignment horizontal="center" vertical="center"/>
    </xf>
    <xf numFmtId="0" fontId="83" fillId="0" borderId="19" xfId="34" applyFont="1" applyBorder="1" applyAlignment="1">
      <alignment horizontal="center" vertical="center"/>
    </xf>
    <xf numFmtId="0" fontId="83" fillId="0" borderId="20" xfId="34" applyFont="1" applyBorder="1" applyAlignment="1">
      <alignment horizontal="center" vertical="center"/>
    </xf>
    <xf numFmtId="0" fontId="34" fillId="0" borderId="2" xfId="29" applyFont="1" applyBorder="1" applyAlignment="1">
      <alignment horizontal="center" vertical="center"/>
    </xf>
    <xf numFmtId="0" fontId="33" fillId="0" borderId="9" xfId="24" applyFont="1" applyBorder="1" applyAlignment="1">
      <alignment horizontal="justify" vertical="center" wrapText="1"/>
    </xf>
    <xf numFmtId="0" fontId="33" fillId="0" borderId="19" xfId="24" applyFont="1" applyBorder="1" applyAlignment="1">
      <alignment horizontal="justify" vertical="center" wrapText="1"/>
    </xf>
    <xf numFmtId="0" fontId="33" fillId="0" borderId="20" xfId="24" applyFont="1" applyBorder="1" applyAlignment="1">
      <alignment horizontal="justify" vertical="center" wrapText="1"/>
    </xf>
    <xf numFmtId="0" fontId="17" fillId="16" borderId="9" xfId="46" applyFont="1" applyFill="1" applyBorder="1" applyAlignment="1">
      <alignment horizontal="center" vertical="center" wrapText="1"/>
    </xf>
    <xf numFmtId="0" fontId="17" fillId="16" borderId="20" xfId="46" applyFont="1" applyFill="1" applyBorder="1" applyAlignment="1">
      <alignment horizontal="center" vertical="center" wrapText="1"/>
    </xf>
    <xf numFmtId="0" fontId="9" fillId="16" borderId="9" xfId="46" applyFont="1" applyFill="1" applyBorder="1" applyAlignment="1">
      <alignment horizontal="center" vertical="center" wrapText="1"/>
    </xf>
    <xf numFmtId="0" fontId="9" fillId="16" borderId="20" xfId="46" applyFont="1" applyFill="1" applyBorder="1" applyAlignment="1">
      <alignment horizontal="center" vertical="center" wrapText="1"/>
    </xf>
    <xf numFmtId="0" fontId="9" fillId="34" borderId="8" xfId="46" applyFont="1" applyFill="1" applyBorder="1" applyAlignment="1">
      <alignment horizontal="center" vertical="center" wrapText="1"/>
    </xf>
    <xf numFmtId="0" fontId="9" fillId="34" borderId="11" xfId="46" applyFont="1" applyFill="1" applyBorder="1" applyAlignment="1">
      <alignment horizontal="center" vertical="center" wrapText="1"/>
    </xf>
    <xf numFmtId="0" fontId="33" fillId="0" borderId="2" xfId="24" applyFont="1" applyBorder="1" applyAlignment="1">
      <alignment horizontal="center" vertical="center"/>
    </xf>
    <xf numFmtId="0" fontId="84" fillId="0" borderId="2" xfId="24" applyFont="1" applyBorder="1" applyAlignment="1">
      <alignment horizontal="justify" vertical="center" wrapText="1"/>
    </xf>
    <xf numFmtId="0" fontId="67" fillId="27" borderId="8" xfId="24" applyFont="1" applyFill="1" applyBorder="1" applyAlignment="1">
      <alignment horizontal="center" vertical="center" textRotation="90"/>
    </xf>
    <xf numFmtId="0" fontId="67" fillId="27" borderId="31" xfId="24" applyFont="1" applyFill="1" applyBorder="1" applyAlignment="1">
      <alignment horizontal="center" vertical="center" textRotation="90"/>
    </xf>
    <xf numFmtId="0" fontId="67" fillId="27" borderId="11" xfId="24" applyFont="1" applyFill="1" applyBorder="1" applyAlignment="1">
      <alignment horizontal="center" vertical="center" textRotation="90"/>
    </xf>
    <xf numFmtId="0" fontId="9" fillId="34" borderId="8" xfId="46" applyFont="1" applyFill="1" applyBorder="1" applyAlignment="1">
      <alignment horizontal="center" vertical="center"/>
    </xf>
    <xf numFmtId="0" fontId="9" fillId="34" borderId="11" xfId="46" applyFont="1" applyFill="1" applyBorder="1" applyAlignment="1">
      <alignment horizontal="center" vertical="center"/>
    </xf>
    <xf numFmtId="0" fontId="34" fillId="27" borderId="32" xfId="24" applyFont="1" applyFill="1" applyBorder="1" applyAlignment="1">
      <alignment horizontal="center" vertical="center"/>
    </xf>
    <xf numFmtId="0" fontId="34" fillId="27" borderId="44" xfId="24" applyFont="1" applyFill="1" applyBorder="1" applyAlignment="1">
      <alignment horizontal="center" vertical="center"/>
    </xf>
    <xf numFmtId="0" fontId="34" fillId="27" borderId="21" xfId="24" applyFont="1" applyFill="1" applyBorder="1" applyAlignment="1">
      <alignment horizontal="center" vertical="center"/>
    </xf>
    <xf numFmtId="0" fontId="34" fillId="27" borderId="45" xfId="24" applyFont="1" applyFill="1" applyBorder="1" applyAlignment="1">
      <alignment horizontal="center" vertical="center"/>
    </xf>
    <xf numFmtId="0" fontId="19" fillId="0" borderId="9" xfId="43" applyFont="1" applyBorder="1" applyAlignment="1">
      <alignment horizontal="center" vertical="center"/>
    </xf>
    <xf numFmtId="0" fontId="19" fillId="0" borderId="20" xfId="43" applyFont="1" applyBorder="1" applyAlignment="1">
      <alignment horizontal="center" vertical="center"/>
    </xf>
    <xf numFmtId="1" fontId="4" fillId="0" borderId="2" xfId="62" applyNumberFormat="1" applyFont="1" applyFill="1" applyBorder="1" applyAlignment="1">
      <alignment horizontal="center" vertical="center" wrapText="1"/>
    </xf>
    <xf numFmtId="0" fontId="4" fillId="0" borderId="2" xfId="62" applyNumberFormat="1" applyFont="1" applyFill="1" applyBorder="1" applyAlignment="1">
      <alignment horizontal="center" vertical="center" wrapText="1"/>
    </xf>
    <xf numFmtId="0" fontId="34" fillId="3" borderId="9" xfId="24" applyFont="1" applyFill="1" applyBorder="1" applyAlignment="1">
      <alignment horizontal="center" vertical="center"/>
    </xf>
    <xf numFmtId="0" fontId="34" fillId="3" borderId="20" xfId="24" applyFont="1" applyFill="1" applyBorder="1" applyAlignment="1">
      <alignment horizontal="center" vertical="center"/>
    </xf>
    <xf numFmtId="165" fontId="61" fillId="0" borderId="2" xfId="34" applyNumberFormat="1" applyFont="1" applyBorder="1" applyAlignment="1">
      <alignment horizontal="center" vertical="center"/>
    </xf>
    <xf numFmtId="0" fontId="61" fillId="0" borderId="9" xfId="34" applyFont="1" applyBorder="1" applyAlignment="1">
      <alignment horizontal="center" vertical="center" wrapText="1"/>
    </xf>
    <xf numFmtId="0" fontId="61" fillId="0" borderId="19" xfId="34" applyFont="1" applyBorder="1" applyAlignment="1">
      <alignment horizontal="center" vertical="center" wrapText="1"/>
    </xf>
    <xf numFmtId="0" fontId="61" fillId="0" borderId="20" xfId="34" applyFont="1" applyBorder="1" applyAlignment="1">
      <alignment horizontal="center" vertical="center" wrapText="1"/>
    </xf>
    <xf numFmtId="0" fontId="5" fillId="3" borderId="9" xfId="43" applyFont="1" applyFill="1" applyBorder="1" applyAlignment="1">
      <alignment horizontal="center" vertical="center" wrapText="1"/>
    </xf>
    <xf numFmtId="0" fontId="5" fillId="3" borderId="19" xfId="43" applyFont="1" applyFill="1" applyBorder="1" applyAlignment="1">
      <alignment horizontal="center" vertical="center" wrapText="1"/>
    </xf>
    <xf numFmtId="0" fontId="5" fillId="3" borderId="20" xfId="43" applyFont="1" applyFill="1" applyBorder="1" applyAlignment="1">
      <alignment horizontal="center" vertical="center" wrapText="1"/>
    </xf>
    <xf numFmtId="0" fontId="127" fillId="0" borderId="2" xfId="29" applyFont="1" applyBorder="1" applyAlignment="1" applyProtection="1">
      <alignment horizontal="justify" vertical="center" wrapText="1"/>
      <protection locked="0"/>
    </xf>
    <xf numFmtId="0" fontId="127" fillId="0" borderId="9" xfId="29" applyFont="1" applyBorder="1" applyAlignment="1" applyProtection="1">
      <alignment horizontal="justify" vertical="center" wrapText="1"/>
      <protection locked="0"/>
    </xf>
    <xf numFmtId="0" fontId="127" fillId="0" borderId="19" xfId="29" applyFont="1" applyBorder="1" applyAlignment="1" applyProtection="1">
      <alignment horizontal="justify" vertical="center" wrapText="1"/>
      <protection locked="0"/>
    </xf>
    <xf numFmtId="0" fontId="127" fillId="0" borderId="20" xfId="29" applyFont="1" applyBorder="1" applyAlignment="1" applyProtection="1">
      <alignment horizontal="justify" vertical="center" wrapText="1"/>
      <protection locked="0"/>
    </xf>
    <xf numFmtId="0" fontId="92" fillId="37" borderId="9" xfId="0" applyFont="1" applyFill="1" applyBorder="1" applyAlignment="1">
      <alignment horizontal="center" vertical="center"/>
    </xf>
    <xf numFmtId="0" fontId="92" fillId="37" borderId="19" xfId="0" applyFont="1" applyFill="1" applyBorder="1" applyAlignment="1">
      <alignment horizontal="center" vertical="center"/>
    </xf>
    <xf numFmtId="0" fontId="92" fillId="0" borderId="1" xfId="0" applyFont="1" applyBorder="1" applyAlignment="1">
      <alignment horizontal="center"/>
    </xf>
    <xf numFmtId="0" fontId="92" fillId="39" borderId="9" xfId="0" applyFont="1" applyFill="1" applyBorder="1" applyAlignment="1">
      <alignment horizontal="center" vertical="center" wrapText="1"/>
    </xf>
    <xf numFmtId="0" fontId="92" fillId="39" borderId="19" xfId="0" applyFont="1" applyFill="1" applyBorder="1" applyAlignment="1">
      <alignment horizontal="center" vertical="center" wrapText="1"/>
    </xf>
    <xf numFmtId="0" fontId="92" fillId="0" borderId="21" xfId="0" applyFont="1" applyBorder="1" applyAlignment="1">
      <alignment horizontal="center" vertical="center" wrapText="1"/>
    </xf>
    <xf numFmtId="0" fontId="92" fillId="0" borderId="1" xfId="0" applyFont="1" applyBorder="1" applyAlignment="1">
      <alignment horizontal="center" vertical="center" wrapText="1"/>
    </xf>
    <xf numFmtId="0" fontId="92" fillId="39" borderId="20" xfId="0" applyFont="1" applyFill="1" applyBorder="1" applyAlignment="1">
      <alignment horizontal="center" vertical="center" wrapText="1"/>
    </xf>
    <xf numFmtId="0" fontId="65" fillId="28" borderId="2" xfId="43" applyFont="1" applyFill="1" applyBorder="1" applyAlignment="1">
      <alignment horizontal="center" vertical="center" wrapText="1"/>
    </xf>
    <xf numFmtId="0" fontId="19" fillId="0" borderId="51" xfId="43" applyFont="1" applyBorder="1" applyAlignment="1" applyProtection="1">
      <alignment horizontal="center" vertical="center" wrapText="1"/>
      <protection locked="0"/>
    </xf>
    <xf numFmtId="0" fontId="19" fillId="0" borderId="50" xfId="43" applyFont="1" applyBorder="1" applyAlignment="1" applyProtection="1">
      <alignment horizontal="center" vertical="center" wrapText="1"/>
      <protection locked="0"/>
    </xf>
    <xf numFmtId="0" fontId="108" fillId="0" borderId="51" xfId="43" applyFont="1" applyBorder="1" applyAlignment="1" applyProtection="1">
      <alignment horizontal="center" vertical="center" wrapText="1"/>
      <protection locked="0"/>
    </xf>
    <xf numFmtId="0" fontId="9" fillId="28" borderId="46" xfId="43" applyFont="1" applyFill="1" applyBorder="1" applyAlignment="1" applyProtection="1">
      <alignment horizontal="center" vertical="center"/>
      <protection locked="0"/>
    </xf>
    <xf numFmtId="0" fontId="19" fillId="0" borderId="58" xfId="43" applyFont="1" applyBorder="1" applyAlignment="1" applyProtection="1">
      <alignment horizontal="center" vertical="center" wrapText="1"/>
      <protection locked="0"/>
    </xf>
    <xf numFmtId="0" fontId="19" fillId="0" borderId="48" xfId="43" applyFont="1" applyBorder="1" applyAlignment="1" applyProtection="1">
      <alignment horizontal="center" vertical="center" wrapText="1"/>
      <protection locked="0"/>
    </xf>
    <xf numFmtId="0" fontId="9" fillId="28" borderId="2" xfId="43" applyFont="1" applyFill="1" applyBorder="1" applyAlignment="1" applyProtection="1">
      <alignment horizontal="center" vertical="center" wrapText="1"/>
      <protection locked="0"/>
    </xf>
    <xf numFmtId="0" fontId="65" fillId="28" borderId="2" xfId="43" applyFont="1" applyFill="1" applyBorder="1" applyAlignment="1" applyProtection="1">
      <alignment horizontal="center" vertical="center" wrapText="1"/>
      <protection locked="0"/>
    </xf>
    <xf numFmtId="0" fontId="9" fillId="28" borderId="2" xfId="43" applyFont="1" applyFill="1" applyBorder="1" applyAlignment="1" applyProtection="1">
      <alignment horizontal="center" vertical="center"/>
      <protection locked="0"/>
    </xf>
    <xf numFmtId="0" fontId="9" fillId="28" borderId="46" xfId="43" applyFont="1" applyFill="1" applyBorder="1" applyAlignment="1" applyProtection="1">
      <alignment horizontal="center" vertical="center" wrapText="1"/>
      <protection locked="0"/>
    </xf>
    <xf numFmtId="0" fontId="65" fillId="28" borderId="51" xfId="43" applyFont="1" applyFill="1" applyBorder="1" applyAlignment="1" applyProtection="1">
      <alignment horizontal="center" vertical="center" wrapText="1"/>
      <protection locked="0"/>
    </xf>
    <xf numFmtId="0" fontId="65" fillId="28" borderId="50" xfId="43" applyFont="1" applyFill="1" applyBorder="1" applyAlignment="1" applyProtection="1">
      <alignment horizontal="center" vertical="center" wrapText="1"/>
      <protection locked="0"/>
    </xf>
    <xf numFmtId="0" fontId="65" fillId="28" borderId="53" xfId="43" applyFont="1" applyFill="1" applyBorder="1" applyAlignment="1" applyProtection="1">
      <alignment horizontal="center" vertical="center" wrapText="1"/>
      <protection locked="0"/>
    </xf>
    <xf numFmtId="0" fontId="65" fillId="28" borderId="54" xfId="43" applyFont="1" applyFill="1" applyBorder="1" applyAlignment="1" applyProtection="1">
      <alignment horizontal="center" vertical="center" wrapText="1"/>
      <protection locked="0"/>
    </xf>
    <xf numFmtId="0" fontId="65" fillId="28" borderId="56" xfId="43" applyFont="1" applyFill="1" applyBorder="1" applyAlignment="1" applyProtection="1">
      <alignment horizontal="center" vertical="center" wrapText="1"/>
      <protection locked="0"/>
    </xf>
    <xf numFmtId="0" fontId="65" fillId="28" borderId="57" xfId="43" applyFont="1" applyFill="1" applyBorder="1" applyAlignment="1" applyProtection="1">
      <alignment horizontal="center" vertical="center" wrapText="1"/>
      <protection locked="0"/>
    </xf>
    <xf numFmtId="0" fontId="65" fillId="28" borderId="58" xfId="43" applyFont="1" applyFill="1" applyBorder="1" applyAlignment="1" applyProtection="1">
      <alignment horizontal="center" vertical="center" wrapText="1"/>
      <protection locked="0"/>
    </xf>
    <xf numFmtId="0" fontId="65" fillId="28" borderId="48" xfId="43" applyFont="1" applyFill="1" applyBorder="1" applyAlignment="1" applyProtection="1">
      <alignment horizontal="center" vertical="center" wrapText="1"/>
      <protection locked="0"/>
    </xf>
    <xf numFmtId="0" fontId="65" fillId="28" borderId="55" xfId="43" applyFont="1" applyFill="1" applyBorder="1" applyAlignment="1" applyProtection="1">
      <alignment horizontal="center" vertical="center" wrapText="1"/>
      <protection locked="0"/>
    </xf>
    <xf numFmtId="0" fontId="65" fillId="28" borderId="49" xfId="43" applyFont="1" applyFill="1" applyBorder="1" applyAlignment="1" applyProtection="1">
      <alignment horizontal="center" vertical="center" wrapText="1"/>
      <protection locked="0"/>
    </xf>
    <xf numFmtId="0" fontId="65" fillId="28" borderId="53" xfId="43" applyFont="1" applyFill="1" applyBorder="1" applyAlignment="1">
      <alignment horizontal="center" vertical="center" wrapText="1"/>
    </xf>
    <xf numFmtId="0" fontId="65" fillId="28" borderId="58" xfId="43" applyFont="1" applyFill="1" applyBorder="1" applyAlignment="1">
      <alignment horizontal="center" vertical="center" wrapText="1"/>
    </xf>
    <xf numFmtId="0" fontId="110" fillId="28" borderId="51" xfId="43" applyFont="1" applyFill="1" applyBorder="1" applyAlignment="1" applyProtection="1">
      <alignment horizontal="center" vertical="center"/>
      <protection locked="0"/>
    </xf>
    <xf numFmtId="0" fontId="9" fillId="28" borderId="52" xfId="43" applyFont="1" applyFill="1" applyBorder="1" applyAlignment="1" applyProtection="1">
      <alignment horizontal="center" vertical="center"/>
      <protection locked="0"/>
    </xf>
    <xf numFmtId="0" fontId="110" fillId="28" borderId="2" xfId="43" applyFont="1" applyFill="1" applyBorder="1" applyAlignment="1" applyProtection="1">
      <alignment horizontal="center" vertical="center"/>
      <protection locked="0"/>
    </xf>
    <xf numFmtId="0" fontId="19" fillId="0" borderId="53" xfId="43" applyFont="1" applyBorder="1" applyAlignment="1" applyProtection="1">
      <alignment horizontal="center" vertical="center" wrapText="1"/>
      <protection locked="0"/>
    </xf>
    <xf numFmtId="0" fontId="19" fillId="0" borderId="54" xfId="43" applyFont="1" applyBorder="1" applyAlignment="1" applyProtection="1">
      <alignment horizontal="center" vertical="center" wrapText="1"/>
      <protection locked="0"/>
    </xf>
    <xf numFmtId="0" fontId="9" fillId="28" borderId="51" xfId="43" applyFont="1" applyFill="1" applyBorder="1" applyAlignment="1" applyProtection="1">
      <alignment horizontal="center" vertical="center"/>
      <protection locked="0"/>
    </xf>
    <xf numFmtId="0" fontId="118" fillId="28" borderId="2" xfId="43" applyFont="1" applyFill="1" applyBorder="1" applyAlignment="1">
      <alignment horizontal="center" vertical="center" wrapText="1"/>
    </xf>
    <xf numFmtId="0" fontId="64" fillId="0" borderId="9" xfId="43" applyFont="1" applyBorder="1" applyAlignment="1">
      <alignment horizontal="justify" vertical="center" wrapText="1"/>
    </xf>
    <xf numFmtId="0" fontId="64" fillId="0" borderId="19" xfId="43" applyFont="1" applyBorder="1" applyAlignment="1">
      <alignment horizontal="justify" vertical="center" wrapText="1"/>
    </xf>
    <xf numFmtId="0" fontId="64" fillId="0" borderId="20" xfId="43" applyFont="1" applyBorder="1" applyAlignment="1">
      <alignment horizontal="justify" vertical="center" wrapText="1"/>
    </xf>
    <xf numFmtId="0" fontId="26" fillId="25" borderId="9" xfId="59" applyFont="1" applyFill="1" applyBorder="1" applyAlignment="1">
      <alignment horizontal="center" vertical="center" wrapText="1"/>
    </xf>
    <xf numFmtId="0" fontId="26" fillId="25" borderId="19" xfId="59" applyFont="1" applyFill="1" applyBorder="1" applyAlignment="1">
      <alignment horizontal="center" vertical="center" wrapText="1"/>
    </xf>
    <xf numFmtId="0" fontId="22" fillId="25" borderId="19" xfId="55" applyFont="1" applyFill="1" applyBorder="1" applyAlignment="1">
      <alignment horizontal="center" vertical="center"/>
    </xf>
    <xf numFmtId="0" fontId="22" fillId="25" borderId="20" xfId="55" applyFont="1" applyFill="1" applyBorder="1" applyAlignment="1">
      <alignment horizontal="center" vertical="center"/>
    </xf>
    <xf numFmtId="0" fontId="26" fillId="23" borderId="2" xfId="59" applyFont="1" applyFill="1" applyBorder="1" applyAlignment="1">
      <alignment horizontal="left" vertical="center" wrapText="1"/>
    </xf>
    <xf numFmtId="0" fontId="22" fillId="23" borderId="2" xfId="55" applyFont="1" applyFill="1" applyBorder="1" applyAlignment="1">
      <alignment horizontal="left" vertical="center"/>
    </xf>
    <xf numFmtId="10" fontId="26" fillId="23" borderId="2" xfId="61" applyNumberFormat="1" applyFont="1" applyFill="1" applyBorder="1" applyAlignment="1">
      <alignment horizontal="center" vertical="center" shrinkToFit="1"/>
    </xf>
    <xf numFmtId="0" fontId="22" fillId="23" borderId="2" xfId="55" applyFont="1" applyFill="1" applyBorder="1" applyAlignment="1">
      <alignment vertical="center" shrinkToFit="1"/>
    </xf>
    <xf numFmtId="0" fontId="22" fillId="0" borderId="2" xfId="59" applyFont="1" applyBorder="1" applyAlignment="1">
      <alignment vertical="center" shrinkToFit="1"/>
    </xf>
    <xf numFmtId="0" fontId="22" fillId="0" borderId="2" xfId="55" applyFont="1" applyBorder="1">
      <alignment vertical="center"/>
    </xf>
    <xf numFmtId="10" fontId="61" fillId="0" borderId="2" xfId="61" applyNumberFormat="1" applyFont="1" applyFill="1" applyBorder="1" applyAlignment="1">
      <alignment horizontal="center" vertical="center" shrinkToFit="1"/>
    </xf>
    <xf numFmtId="0" fontId="61" fillId="0" borderId="2" xfId="55" applyFont="1" applyBorder="1" applyAlignment="1">
      <alignment horizontal="center" vertical="center" shrinkToFit="1"/>
    </xf>
    <xf numFmtId="10" fontId="22" fillId="0" borderId="2" xfId="61" applyNumberFormat="1" applyFont="1" applyFill="1" applyBorder="1" applyAlignment="1">
      <alignment horizontal="center" vertical="center" shrinkToFit="1"/>
    </xf>
    <xf numFmtId="0" fontId="22" fillId="0" borderId="2" xfId="55" applyFont="1" applyBorder="1" applyAlignment="1">
      <alignment horizontal="center" vertical="center" shrinkToFit="1"/>
    </xf>
    <xf numFmtId="0" fontId="22" fillId="0" borderId="8" xfId="59" applyFont="1" applyBorder="1" applyAlignment="1">
      <alignment vertical="center" shrinkToFit="1"/>
    </xf>
    <xf numFmtId="0" fontId="22" fillId="0" borderId="8" xfId="55" applyFont="1" applyBorder="1">
      <alignment vertical="center"/>
    </xf>
    <xf numFmtId="0" fontId="22" fillId="0" borderId="32" xfId="59" applyFont="1" applyBorder="1" applyAlignment="1">
      <alignment vertical="center" shrinkToFit="1"/>
    </xf>
    <xf numFmtId="0" fontId="22" fillId="0" borderId="13" xfId="59" applyFont="1" applyBorder="1" applyAlignment="1">
      <alignment vertical="center" shrinkToFit="1"/>
    </xf>
    <xf numFmtId="0" fontId="22" fillId="0" borderId="13" xfId="55" applyFont="1" applyBorder="1">
      <alignment vertical="center"/>
    </xf>
    <xf numFmtId="0" fontId="22" fillId="0" borderId="44" xfId="55" applyFont="1" applyBorder="1">
      <alignment vertical="center"/>
    </xf>
    <xf numFmtId="0" fontId="22" fillId="0" borderId="1" xfId="59" applyFont="1" applyBorder="1" applyAlignment="1">
      <alignment vertical="center" shrinkToFit="1"/>
    </xf>
    <xf numFmtId="10" fontId="22" fillId="7" borderId="75" xfId="61" applyNumberFormat="1" applyFont="1" applyFill="1" applyBorder="1" applyAlignment="1">
      <alignment vertical="center"/>
    </xf>
    <xf numFmtId="10" fontId="22" fillId="7" borderId="76" xfId="61" applyNumberFormat="1" applyFont="1" applyFill="1" applyBorder="1" applyAlignment="1">
      <alignment vertical="center"/>
    </xf>
    <xf numFmtId="10" fontId="22" fillId="7" borderId="77" xfId="61" applyNumberFormat="1" applyFont="1" applyFill="1" applyBorder="1" applyAlignment="1">
      <alignment vertical="center"/>
    </xf>
    <xf numFmtId="0" fontId="22" fillId="0" borderId="1" xfId="55" applyFont="1" applyBorder="1">
      <alignment vertical="center"/>
    </xf>
    <xf numFmtId="175" fontId="22" fillId="7" borderId="75" xfId="55" applyNumberFormat="1" applyFont="1" applyFill="1" applyBorder="1">
      <alignment vertical="center"/>
    </xf>
    <xf numFmtId="175" fontId="22" fillId="7" borderId="76" xfId="55" applyNumberFormat="1" applyFont="1" applyFill="1" applyBorder="1">
      <alignment vertical="center"/>
    </xf>
    <xf numFmtId="175" fontId="22" fillId="7" borderId="77" xfId="55" applyNumberFormat="1" applyFont="1" applyFill="1" applyBorder="1">
      <alignment vertical="center"/>
    </xf>
    <xf numFmtId="0" fontId="22" fillId="0" borderId="11" xfId="59" applyFont="1" applyBorder="1" applyAlignment="1">
      <alignment vertical="center" shrinkToFit="1"/>
    </xf>
    <xf numFmtId="0" fontId="22" fillId="0" borderId="11" xfId="55" applyFont="1" applyBorder="1">
      <alignment vertical="center"/>
    </xf>
    <xf numFmtId="0" fontId="25" fillId="23" borderId="9" xfId="59" applyFont="1" applyFill="1" applyBorder="1" applyAlignment="1">
      <alignment horizontal="right" vertical="center" wrapText="1"/>
    </xf>
    <xf numFmtId="0" fontId="25" fillId="23" borderId="19" xfId="59" applyFont="1" applyFill="1" applyBorder="1" applyAlignment="1">
      <alignment horizontal="right" vertical="center" wrapText="1"/>
    </xf>
    <xf numFmtId="0" fontId="25" fillId="23" borderId="19" xfId="55" applyFont="1" applyFill="1" applyBorder="1" applyAlignment="1">
      <alignment horizontal="right" vertical="center"/>
    </xf>
    <xf numFmtId="0" fontId="25" fillId="23" borderId="20" xfId="55" applyFont="1" applyFill="1" applyBorder="1" applyAlignment="1">
      <alignment horizontal="right" vertical="center"/>
    </xf>
    <xf numFmtId="10" fontId="25" fillId="23" borderId="2" xfId="61" applyNumberFormat="1" applyFont="1" applyFill="1" applyBorder="1" applyAlignment="1">
      <alignment horizontal="center" vertical="center" shrinkToFit="1"/>
    </xf>
    <xf numFmtId="0" fontId="25" fillId="23" borderId="2" xfId="55" applyFont="1" applyFill="1" applyBorder="1" applyAlignment="1">
      <alignment horizontal="center" vertical="center" shrinkToFit="1"/>
    </xf>
    <xf numFmtId="0" fontId="22" fillId="0" borderId="9" xfId="55" applyFont="1" applyBorder="1">
      <alignment vertical="center"/>
    </xf>
    <xf numFmtId="0" fontId="22" fillId="0" borderId="19" xfId="55" applyFont="1" applyBorder="1">
      <alignment vertical="center"/>
    </xf>
    <xf numFmtId="0" fontId="26" fillId="23" borderId="9" xfId="59" applyFont="1" applyFill="1" applyBorder="1" applyAlignment="1">
      <alignment horizontal="center" vertical="center"/>
    </xf>
    <xf numFmtId="0" fontId="26" fillId="23" borderId="19" xfId="59" applyFont="1" applyFill="1" applyBorder="1" applyAlignment="1">
      <alignment horizontal="center" vertical="center"/>
    </xf>
    <xf numFmtId="0" fontId="26" fillId="23" borderId="20" xfId="59" applyFont="1" applyFill="1" applyBorder="1" applyAlignment="1">
      <alignment horizontal="center" vertical="center"/>
    </xf>
    <xf numFmtId="0" fontId="22" fillId="0" borderId="32" xfId="59" applyFont="1" applyBorder="1" applyAlignment="1">
      <alignment horizontal="justify" vertical="center" wrapText="1"/>
    </xf>
    <xf numFmtId="0" fontId="22" fillId="0" borderId="13" xfId="59" applyFont="1" applyBorder="1" applyAlignment="1">
      <alignment horizontal="justify" vertical="center" wrapText="1"/>
    </xf>
    <xf numFmtId="0" fontId="22" fillId="0" borderId="44" xfId="59" applyFont="1" applyBorder="1" applyAlignment="1">
      <alignment horizontal="justify" vertical="center" wrapText="1"/>
    </xf>
    <xf numFmtId="0" fontId="22" fillId="7" borderId="21" xfId="67" applyNumberFormat="1" applyFont="1" applyFill="1" applyBorder="1" applyAlignment="1">
      <alignment horizontal="center" vertical="center"/>
    </xf>
    <xf numFmtId="0" fontId="22" fillId="7" borderId="1" xfId="67" applyNumberFormat="1" applyFont="1" applyFill="1" applyBorder="1" applyAlignment="1">
      <alignment horizontal="center" vertical="center"/>
    </xf>
    <xf numFmtId="0" fontId="22" fillId="7" borderId="1" xfId="55" applyFont="1" applyFill="1" applyBorder="1" applyAlignment="1">
      <alignment horizontal="center" vertical="center"/>
    </xf>
    <xf numFmtId="0" fontId="22" fillId="7" borderId="1" xfId="55" applyFont="1" applyFill="1" applyBorder="1">
      <alignment vertical="center"/>
    </xf>
    <xf numFmtId="0" fontId="22" fillId="7" borderId="1" xfId="59" applyFont="1" applyFill="1" applyBorder="1" applyAlignment="1">
      <alignment horizontal="center" vertical="center"/>
    </xf>
    <xf numFmtId="0" fontId="22" fillId="7" borderId="45" xfId="59" applyFont="1" applyFill="1" applyBorder="1" applyAlignment="1">
      <alignment horizontal="center" vertical="center"/>
    </xf>
    <xf numFmtId="0" fontId="22" fillId="0" borderId="8" xfId="59" applyFont="1" applyBorder="1">
      <alignment vertical="center"/>
    </xf>
    <xf numFmtId="10" fontId="61" fillId="0" borderId="2" xfId="59" applyNumberFormat="1" applyFont="1" applyBorder="1" applyAlignment="1">
      <alignment horizontal="center" vertical="center" shrinkToFit="1"/>
    </xf>
    <xf numFmtId="0" fontId="22" fillId="0" borderId="9" xfId="59" applyFont="1" applyBorder="1">
      <alignment vertical="center"/>
    </xf>
    <xf numFmtId="10" fontId="22" fillId="7" borderId="19" xfId="55" applyNumberFormat="1" applyFont="1" applyFill="1" applyBorder="1" applyAlignment="1">
      <alignment horizontal="center" vertical="center"/>
    </xf>
    <xf numFmtId="0" fontId="22" fillId="7" borderId="19" xfId="55" applyFont="1" applyFill="1" applyBorder="1" applyAlignment="1">
      <alignment horizontal="center" vertical="center"/>
    </xf>
    <xf numFmtId="10" fontId="22" fillId="7" borderId="19" xfId="55" applyNumberFormat="1" applyFont="1" applyFill="1" applyBorder="1" applyAlignment="1">
      <alignment horizontal="left" vertical="center"/>
    </xf>
    <xf numFmtId="0" fontId="22" fillId="7" borderId="20" xfId="55" applyFont="1" applyFill="1" applyBorder="1" applyAlignment="1">
      <alignment horizontal="left" vertical="center"/>
    </xf>
    <xf numFmtId="10" fontId="61" fillId="0" borderId="19" xfId="55" applyNumberFormat="1" applyFont="1" applyBorder="1" applyAlignment="1">
      <alignment horizontal="center" vertical="center" shrinkToFit="1"/>
    </xf>
    <xf numFmtId="0" fontId="61" fillId="0" borderId="19" xfId="55" applyFont="1" applyBorder="1" applyAlignment="1">
      <alignment horizontal="center" vertical="center" shrinkToFit="1"/>
    </xf>
    <xf numFmtId="0" fontId="61" fillId="0" borderId="20" xfId="55" applyFont="1" applyBorder="1" applyAlignment="1">
      <alignment horizontal="center" vertical="center" shrinkToFit="1"/>
    </xf>
    <xf numFmtId="10" fontId="61" fillId="0" borderId="13" xfId="61" applyNumberFormat="1" applyFont="1" applyFill="1" applyBorder="1" applyAlignment="1">
      <alignment horizontal="center" vertical="center" shrinkToFit="1"/>
    </xf>
    <xf numFmtId="10" fontId="61" fillId="0" borderId="44" xfId="61" applyNumberFormat="1" applyFont="1" applyFill="1" applyBorder="1" applyAlignment="1">
      <alignment horizontal="center" vertical="center" shrinkToFit="1"/>
    </xf>
    <xf numFmtId="10" fontId="61" fillId="0" borderId="0" xfId="61" applyNumberFormat="1" applyFont="1" applyFill="1" applyBorder="1" applyAlignment="1">
      <alignment horizontal="center" vertical="center" shrinkToFit="1"/>
    </xf>
    <xf numFmtId="10" fontId="61" fillId="0" borderId="42" xfId="61" applyNumberFormat="1" applyFont="1" applyFill="1" applyBorder="1" applyAlignment="1">
      <alignment horizontal="center" vertical="center" shrinkToFit="1"/>
    </xf>
    <xf numFmtId="10" fontId="61" fillId="0" borderId="1" xfId="61" applyNumberFormat="1" applyFont="1" applyFill="1" applyBorder="1" applyAlignment="1">
      <alignment horizontal="center" vertical="center" shrinkToFit="1"/>
    </xf>
    <xf numFmtId="10" fontId="61" fillId="0" borderId="45" xfId="61" applyNumberFormat="1" applyFont="1" applyFill="1" applyBorder="1" applyAlignment="1">
      <alignment horizontal="center" vertical="center" shrinkToFit="1"/>
    </xf>
    <xf numFmtId="0" fontId="25" fillId="23" borderId="2" xfId="59" applyFont="1" applyFill="1" applyBorder="1" applyAlignment="1">
      <alignment horizontal="right" vertical="center"/>
    </xf>
    <xf numFmtId="0" fontId="25" fillId="23" borderId="2" xfId="55" applyFont="1" applyFill="1" applyBorder="1" applyAlignment="1">
      <alignment horizontal="right" vertical="center"/>
    </xf>
    <xf numFmtId="10" fontId="25" fillId="23" borderId="2" xfId="59" applyNumberFormat="1" applyFont="1" applyFill="1" applyBorder="1" applyAlignment="1">
      <alignment horizontal="center" vertical="center" shrinkToFit="1"/>
    </xf>
    <xf numFmtId="0" fontId="22" fillId="0" borderId="32" xfId="59" applyFont="1" applyBorder="1" applyAlignment="1">
      <alignment horizontal="justify" vertical="center"/>
    </xf>
    <xf numFmtId="0" fontId="22" fillId="0" borderId="13" xfId="55" applyFont="1" applyBorder="1" applyAlignment="1">
      <alignment horizontal="justify" vertical="center"/>
    </xf>
    <xf numFmtId="0" fontId="22" fillId="0" borderId="44" xfId="55" applyFont="1" applyBorder="1" applyAlignment="1">
      <alignment horizontal="justify" vertical="center"/>
    </xf>
    <xf numFmtId="10" fontId="22" fillId="7" borderId="21" xfId="67" applyNumberFormat="1" applyFont="1" applyFill="1" applyBorder="1" applyAlignment="1">
      <alignment vertical="center"/>
    </xf>
    <xf numFmtId="10" fontId="22" fillId="7" borderId="1" xfId="67" applyNumberFormat="1" applyFont="1" applyFill="1" applyBorder="1" applyAlignment="1">
      <alignment vertical="center"/>
    </xf>
    <xf numFmtId="10" fontId="22" fillId="7" borderId="1" xfId="61" applyNumberFormat="1" applyFont="1" applyFill="1" applyBorder="1" applyAlignment="1">
      <alignment horizontal="center" vertical="center"/>
    </xf>
    <xf numFmtId="10" fontId="22" fillId="7" borderId="1" xfId="63" applyNumberFormat="1" applyFont="1" applyFill="1" applyBorder="1" applyAlignment="1">
      <alignment vertical="center"/>
    </xf>
    <xf numFmtId="10" fontId="22" fillId="0" borderId="1" xfId="63" applyNumberFormat="1" applyFont="1" applyBorder="1" applyAlignment="1">
      <alignment vertical="center"/>
    </xf>
    <xf numFmtId="0" fontId="22" fillId="0" borderId="13" xfId="55" applyFont="1" applyBorder="1" applyAlignment="1">
      <alignment horizontal="justify" vertical="center" wrapText="1"/>
    </xf>
    <xf numFmtId="0" fontId="22" fillId="0" borderId="44" xfId="55" applyFont="1" applyBorder="1" applyAlignment="1">
      <alignment horizontal="justify" vertical="center" wrapText="1"/>
    </xf>
    <xf numFmtId="0" fontId="22" fillId="0" borderId="21" xfId="55" applyFont="1" applyBorder="1" applyAlignment="1">
      <alignment horizontal="justify" vertical="center" wrapText="1"/>
    </xf>
    <xf numFmtId="0" fontId="22" fillId="0" borderId="1" xfId="55" applyFont="1" applyBorder="1" applyAlignment="1">
      <alignment horizontal="justify" vertical="center" wrapText="1"/>
    </xf>
    <xf numFmtId="0" fontId="22" fillId="0" borderId="45" xfId="55" applyFont="1" applyBorder="1" applyAlignment="1">
      <alignment horizontal="justify" vertical="center" wrapText="1"/>
    </xf>
    <xf numFmtId="174" fontId="61" fillId="0" borderId="2" xfId="59" applyNumberFormat="1" applyFont="1" applyBorder="1" applyAlignment="1">
      <alignment horizontal="center" vertical="center" shrinkToFit="1"/>
    </xf>
    <xf numFmtId="174" fontId="61" fillId="0" borderId="2" xfId="55" applyNumberFormat="1" applyFont="1" applyBorder="1" applyAlignment="1">
      <alignment horizontal="center" vertical="center" shrinkToFit="1"/>
    </xf>
    <xf numFmtId="0" fontId="26" fillId="25" borderId="9" xfId="59" applyFont="1" applyFill="1" applyBorder="1" applyAlignment="1">
      <alignment horizontal="center" vertical="center"/>
    </xf>
    <xf numFmtId="0" fontId="26" fillId="25" borderId="19" xfId="59" applyFont="1" applyFill="1" applyBorder="1" applyAlignment="1">
      <alignment horizontal="center" vertical="center"/>
    </xf>
    <xf numFmtId="0" fontId="26" fillId="25" borderId="13" xfId="59" applyFont="1" applyFill="1" applyBorder="1" applyAlignment="1">
      <alignment horizontal="center" vertical="center"/>
    </xf>
    <xf numFmtId="0" fontId="26" fillId="25" borderId="20" xfId="59" applyFont="1" applyFill="1" applyBorder="1" applyAlignment="1">
      <alignment horizontal="center" vertical="center"/>
    </xf>
    <xf numFmtId="10" fontId="22" fillId="7" borderId="1" xfId="55" applyNumberFormat="1" applyFont="1" applyFill="1" applyBorder="1" applyAlignment="1">
      <alignment horizontal="center" vertical="center"/>
    </xf>
    <xf numFmtId="10" fontId="22" fillId="7" borderId="1" xfId="55" applyNumberFormat="1" applyFont="1" applyFill="1" applyBorder="1">
      <alignment vertical="center"/>
    </xf>
    <xf numFmtId="0" fontId="22" fillId="0" borderId="21" xfId="59" applyFont="1" applyBorder="1" applyAlignment="1">
      <alignment horizontal="center" vertical="center" wrapText="1"/>
    </xf>
    <xf numFmtId="0" fontId="22" fillId="0" borderId="1" xfId="59" applyFont="1" applyBorder="1" applyAlignment="1">
      <alignment horizontal="center" vertical="center" wrapText="1"/>
    </xf>
    <xf numFmtId="0" fontId="22" fillId="0" borderId="45" xfId="59" applyFont="1" applyBorder="1" applyAlignment="1">
      <alignment horizontal="center" vertical="center" wrapText="1"/>
    </xf>
    <xf numFmtId="10" fontId="22" fillId="7" borderId="21" xfId="67" applyNumberFormat="1" applyFont="1" applyFill="1" applyBorder="1" applyAlignment="1">
      <alignment horizontal="center" vertical="center"/>
    </xf>
    <xf numFmtId="10" fontId="22" fillId="7" borderId="1" xfId="67" applyNumberFormat="1" applyFont="1" applyFill="1" applyBorder="1" applyAlignment="1">
      <alignment horizontal="center" vertical="center"/>
    </xf>
    <xf numFmtId="10" fontId="22" fillId="0" borderId="1" xfId="55" applyNumberFormat="1" applyFont="1" applyBorder="1" applyAlignment="1">
      <alignment horizontal="center" vertical="center"/>
    </xf>
    <xf numFmtId="173" fontId="61" fillId="0" borderId="21" xfId="61" applyNumberFormat="1" applyFont="1" applyFill="1" applyBorder="1" applyAlignment="1">
      <alignment horizontal="center" vertical="center" shrinkToFit="1"/>
    </xf>
    <xf numFmtId="173" fontId="61" fillId="0" borderId="1" xfId="61" applyNumberFormat="1" applyFont="1" applyFill="1" applyBorder="1" applyAlignment="1">
      <alignment horizontal="center" vertical="center" shrinkToFit="1"/>
    </xf>
    <xf numFmtId="173" fontId="61" fillId="0" borderId="45" xfId="61" applyNumberFormat="1" applyFont="1" applyFill="1" applyBorder="1" applyAlignment="1">
      <alignment horizontal="center" vertical="center" shrinkToFit="1"/>
    </xf>
    <xf numFmtId="0" fontId="22" fillId="0" borderId="3" xfId="59" applyFont="1" applyBorder="1">
      <alignment vertical="center"/>
    </xf>
    <xf numFmtId="0" fontId="22" fillId="0" borderId="0" xfId="55" applyFont="1">
      <alignment vertical="center"/>
    </xf>
    <xf numFmtId="0" fontId="22" fillId="0" borderId="21" xfId="55" applyFont="1" applyBorder="1">
      <alignment vertical="center"/>
    </xf>
    <xf numFmtId="0" fontId="22" fillId="0" borderId="3" xfId="59" applyFont="1" applyBorder="1" applyAlignment="1">
      <alignment horizontal="justify" vertical="center" wrapText="1"/>
    </xf>
    <xf numFmtId="0" fontId="22" fillId="0" borderId="0" xfId="59" applyFont="1" applyAlignment="1">
      <alignment horizontal="justify" vertical="center" wrapText="1"/>
    </xf>
    <xf numFmtId="0" fontId="22" fillId="0" borderId="42" xfId="59" applyFont="1" applyBorder="1" applyAlignment="1">
      <alignment horizontal="justify" vertical="center" wrapText="1"/>
    </xf>
    <xf numFmtId="0" fontId="26" fillId="0" borderId="9" xfId="55" applyFont="1" applyBorder="1">
      <alignment vertical="center"/>
    </xf>
    <xf numFmtId="0" fontId="26" fillId="0" borderId="19" xfId="55" applyFont="1" applyBorder="1">
      <alignment vertical="center"/>
    </xf>
    <xf numFmtId="0" fontId="26" fillId="0" borderId="20" xfId="55" applyFont="1" applyBorder="1">
      <alignment vertical="center"/>
    </xf>
    <xf numFmtId="10" fontId="6" fillId="0" borderId="9" xfId="61" applyNumberFormat="1" applyFont="1" applyFill="1" applyBorder="1" applyAlignment="1">
      <alignment horizontal="center" vertical="center" shrinkToFit="1"/>
    </xf>
    <xf numFmtId="10" fontId="6" fillId="0" borderId="19" xfId="61" applyNumberFormat="1" applyFont="1" applyFill="1" applyBorder="1" applyAlignment="1">
      <alignment horizontal="center" vertical="center" shrinkToFit="1"/>
    </xf>
    <xf numFmtId="10" fontId="6" fillId="0" borderId="20" xfId="61" applyNumberFormat="1" applyFont="1" applyFill="1" applyBorder="1" applyAlignment="1">
      <alignment horizontal="center" vertical="center" shrinkToFit="1"/>
    </xf>
    <xf numFmtId="0" fontId="22" fillId="0" borderId="9" xfId="55" applyFont="1" applyBorder="1" applyAlignment="1">
      <alignment horizontal="justify" vertical="center" wrapText="1"/>
    </xf>
    <xf numFmtId="0" fontId="22" fillId="0" borderId="19" xfId="55" applyFont="1" applyBorder="1" applyAlignment="1">
      <alignment horizontal="justify" vertical="center" wrapText="1"/>
    </xf>
    <xf numFmtId="0" fontId="22" fillId="0" borderId="20" xfId="55" applyFont="1" applyBorder="1" applyAlignment="1">
      <alignment horizontal="justify" vertical="center" wrapText="1"/>
    </xf>
    <xf numFmtId="10" fontId="22" fillId="7" borderId="1" xfId="55" applyNumberFormat="1" applyFont="1" applyFill="1" applyBorder="1" applyAlignment="1">
      <alignment horizontal="left" vertical="center"/>
    </xf>
    <xf numFmtId="0" fontId="22" fillId="7" borderId="45" xfId="55" applyFont="1" applyFill="1" applyBorder="1" applyAlignment="1">
      <alignment horizontal="left" vertical="center"/>
    </xf>
    <xf numFmtId="174" fontId="61" fillId="0" borderId="19" xfId="55" applyNumberFormat="1" applyFont="1" applyBorder="1" applyAlignment="1">
      <alignment horizontal="center" vertical="center" shrinkToFit="1"/>
    </xf>
    <xf numFmtId="174" fontId="61" fillId="0" borderId="20" xfId="55" applyNumberFormat="1" applyFont="1" applyBorder="1" applyAlignment="1">
      <alignment horizontal="center" vertical="center" shrinkToFit="1"/>
    </xf>
    <xf numFmtId="0" fontId="22" fillId="0" borderId="9" xfId="59" applyFont="1" applyBorder="1" applyAlignment="1">
      <alignment horizontal="justify" vertical="center" wrapText="1"/>
    </xf>
    <xf numFmtId="0" fontId="22" fillId="0" borderId="19" xfId="59" applyFont="1" applyBorder="1" applyAlignment="1">
      <alignment horizontal="justify" vertical="center" wrapText="1"/>
    </xf>
    <xf numFmtId="0" fontId="22" fillId="0" borderId="20" xfId="59" applyFont="1" applyBorder="1" applyAlignment="1">
      <alignment horizontal="justify" vertical="center" wrapText="1"/>
    </xf>
    <xf numFmtId="10" fontId="22" fillId="7" borderId="21" xfId="55" applyNumberFormat="1" applyFont="1" applyFill="1" applyBorder="1" applyAlignment="1">
      <alignment horizontal="center" vertical="center" wrapText="1"/>
    </xf>
    <xf numFmtId="10" fontId="22" fillId="7" borderId="1" xfId="55" applyNumberFormat="1" applyFont="1" applyFill="1" applyBorder="1" applyAlignment="1">
      <alignment horizontal="center" vertical="center" wrapText="1"/>
    </xf>
    <xf numFmtId="10" fontId="26" fillId="7" borderId="1" xfId="63" applyNumberFormat="1" applyFont="1" applyFill="1" applyBorder="1" applyAlignment="1">
      <alignment horizontal="justify" vertical="center" wrapText="1"/>
    </xf>
    <xf numFmtId="174" fontId="61" fillId="0" borderId="9" xfId="61" applyNumberFormat="1" applyFont="1" applyFill="1" applyBorder="1" applyAlignment="1">
      <alignment horizontal="center" vertical="center" shrinkToFit="1"/>
    </xf>
    <xf numFmtId="174" fontId="61" fillId="0" borderId="19" xfId="61" applyNumberFormat="1" applyFont="1" applyFill="1" applyBorder="1" applyAlignment="1">
      <alignment horizontal="center" vertical="center" shrinkToFit="1"/>
    </xf>
    <xf numFmtId="174" fontId="61" fillId="0" borderId="20" xfId="61" applyNumberFormat="1" applyFont="1" applyFill="1" applyBorder="1" applyAlignment="1">
      <alignment horizontal="center" vertical="center" shrinkToFit="1"/>
    </xf>
    <xf numFmtId="10" fontId="22" fillId="7" borderId="3" xfId="55" applyNumberFormat="1" applyFont="1" applyFill="1" applyBorder="1" applyAlignment="1">
      <alignment horizontal="center" vertical="center" wrapText="1"/>
    </xf>
    <xf numFmtId="10" fontId="22" fillId="7" borderId="0" xfId="55" applyNumberFormat="1" applyFont="1" applyFill="1" applyAlignment="1">
      <alignment horizontal="center" vertical="center" wrapText="1"/>
    </xf>
    <xf numFmtId="10" fontId="22" fillId="7" borderId="0" xfId="63" applyNumberFormat="1" applyFont="1" applyFill="1" applyBorder="1" applyAlignment="1">
      <alignment horizontal="justify" vertical="center" wrapText="1"/>
    </xf>
    <xf numFmtId="0" fontId="22" fillId="7" borderId="21" xfId="55" applyFont="1" applyFill="1" applyBorder="1" applyAlignment="1">
      <alignment horizontal="center" vertical="center" wrapText="1"/>
    </xf>
    <xf numFmtId="0" fontId="22" fillId="7" borderId="1" xfId="55" applyFont="1" applyFill="1" applyBorder="1" applyAlignment="1">
      <alignment horizontal="center" vertical="center" wrapText="1"/>
    </xf>
    <xf numFmtId="10" fontId="22" fillId="7" borderId="1" xfId="63" applyNumberFormat="1" applyFont="1" applyFill="1" applyBorder="1" applyAlignment="1">
      <alignment horizontal="justify" vertical="center" wrapText="1"/>
    </xf>
    <xf numFmtId="10" fontId="25" fillId="23" borderId="2" xfId="55" applyNumberFormat="1" applyFont="1" applyFill="1" applyBorder="1" applyAlignment="1">
      <alignment horizontal="center" vertical="center" shrinkToFit="1"/>
    </xf>
    <xf numFmtId="10" fontId="22" fillId="0" borderId="1" xfId="55" applyNumberFormat="1" applyFont="1" applyBorder="1">
      <alignment vertical="center"/>
    </xf>
    <xf numFmtId="0" fontId="22" fillId="0" borderId="2" xfId="55" applyFont="1" applyBorder="1" applyAlignment="1">
      <alignment horizontal="justify" vertical="center" wrapText="1"/>
    </xf>
    <xf numFmtId="10" fontId="22" fillId="0" borderId="32" xfId="55" applyNumberFormat="1" applyFont="1" applyBorder="1" applyAlignment="1">
      <alignment horizontal="justify" vertical="center" wrapText="1"/>
    </xf>
    <xf numFmtId="10" fontId="22" fillId="0" borderId="13" xfId="55" applyNumberFormat="1" applyFont="1" applyBorder="1" applyAlignment="1">
      <alignment horizontal="justify" vertical="center" wrapText="1"/>
    </xf>
    <xf numFmtId="10" fontId="22" fillId="0" borderId="44" xfId="55" applyNumberFormat="1" applyFont="1" applyBorder="1" applyAlignment="1">
      <alignment horizontal="justify" vertical="center" wrapText="1"/>
    </xf>
    <xf numFmtId="10" fontId="22" fillId="0" borderId="3" xfId="55" applyNumberFormat="1" applyFont="1" applyBorder="1" applyAlignment="1">
      <alignment horizontal="justify" vertical="center" wrapText="1"/>
    </xf>
    <xf numFmtId="10" fontId="22" fillId="0" borderId="0" xfId="55" applyNumberFormat="1" applyFont="1" applyAlignment="1">
      <alignment horizontal="justify" vertical="center" wrapText="1"/>
    </xf>
    <xf numFmtId="10" fontId="22" fillId="0" borderId="42" xfId="55" applyNumberFormat="1" applyFont="1" applyBorder="1" applyAlignment="1">
      <alignment horizontal="justify" vertical="center" wrapText="1"/>
    </xf>
    <xf numFmtId="10" fontId="61" fillId="0" borderId="32" xfId="61" applyNumberFormat="1" applyFont="1" applyFill="1" applyBorder="1" applyAlignment="1">
      <alignment horizontal="center" vertical="center" shrinkToFit="1"/>
    </xf>
    <xf numFmtId="10" fontId="61" fillId="0" borderId="3" xfId="61" applyNumberFormat="1" applyFont="1" applyFill="1" applyBorder="1" applyAlignment="1">
      <alignment horizontal="center" vertical="center" shrinkToFit="1"/>
    </xf>
    <xf numFmtId="10" fontId="61" fillId="0" borderId="21" xfId="61" applyNumberFormat="1" applyFont="1" applyFill="1" applyBorder="1" applyAlignment="1">
      <alignment horizontal="center" vertical="center" shrinkToFit="1"/>
    </xf>
    <xf numFmtId="0" fontId="22" fillId="0" borderId="32" xfId="55" applyFont="1" applyBorder="1" applyAlignment="1">
      <alignment horizontal="justify" vertical="center" wrapText="1"/>
    </xf>
    <xf numFmtId="0" fontId="22" fillId="0" borderId="3" xfId="55" applyFont="1" applyBorder="1" applyAlignment="1">
      <alignment horizontal="justify" vertical="center" wrapText="1"/>
    </xf>
    <xf numFmtId="0" fontId="22" fillId="0" borderId="0" xfId="55" applyFont="1" applyAlignment="1">
      <alignment horizontal="justify" vertical="center" wrapText="1"/>
    </xf>
    <xf numFmtId="0" fontId="22" fillId="0" borderId="42" xfId="55" applyFont="1" applyBorder="1" applyAlignment="1">
      <alignment horizontal="justify" vertical="center" wrapText="1"/>
    </xf>
    <xf numFmtId="0" fontId="22" fillId="0" borderId="3" xfId="59" applyFont="1" applyBorder="1" applyAlignment="1">
      <alignment vertical="center" wrapText="1"/>
    </xf>
    <xf numFmtId="0" fontId="22" fillId="0" borderId="0" xfId="55" applyFont="1" applyAlignment="1">
      <alignment vertical="center" wrapText="1"/>
    </xf>
    <xf numFmtId="0" fontId="22" fillId="0" borderId="21" xfId="55" applyFont="1" applyBorder="1" applyAlignment="1">
      <alignment vertical="center" wrapText="1"/>
    </xf>
    <xf numFmtId="0" fontId="22" fillId="0" borderId="1" xfId="55" applyFont="1" applyBorder="1" applyAlignment="1">
      <alignment vertical="center" wrapText="1"/>
    </xf>
    <xf numFmtId="0" fontId="22" fillId="0" borderId="32" xfId="59" applyFont="1" applyBorder="1">
      <alignment vertical="center"/>
    </xf>
    <xf numFmtId="0" fontId="22" fillId="0" borderId="13" xfId="59" applyFont="1" applyBorder="1">
      <alignment vertical="center"/>
    </xf>
    <xf numFmtId="0" fontId="22" fillId="0" borderId="44" xfId="59" applyFont="1" applyBorder="1">
      <alignment vertical="center"/>
    </xf>
    <xf numFmtId="0" fontId="22" fillId="0" borderId="0" xfId="59" applyFont="1">
      <alignment vertical="center"/>
    </xf>
    <xf numFmtId="0" fontId="22" fillId="0" borderId="42" xfId="59" applyFont="1" applyBorder="1">
      <alignment vertical="center"/>
    </xf>
    <xf numFmtId="0" fontId="22" fillId="0" borderId="21" xfId="59" applyFont="1" applyBorder="1">
      <alignment vertical="center"/>
    </xf>
    <xf numFmtId="0" fontId="22" fillId="0" borderId="1" xfId="59" applyFont="1" applyBorder="1">
      <alignment vertical="center"/>
    </xf>
    <xf numFmtId="0" fontId="22" fillId="0" borderId="45" xfId="59" applyFont="1" applyBorder="1">
      <alignment vertical="center"/>
    </xf>
    <xf numFmtId="0" fontId="22" fillId="0" borderId="32" xfId="67" applyNumberFormat="1" applyFont="1" applyFill="1" applyBorder="1" applyAlignment="1">
      <alignment horizontal="justify" vertical="center" wrapText="1"/>
    </xf>
    <xf numFmtId="0" fontId="22" fillId="0" borderId="13" xfId="67" applyNumberFormat="1" applyFont="1" applyFill="1" applyBorder="1" applyAlignment="1">
      <alignment horizontal="justify" vertical="center" wrapText="1"/>
    </xf>
    <xf numFmtId="0" fontId="22" fillId="0" borderId="44" xfId="67" applyNumberFormat="1" applyFont="1" applyFill="1" applyBorder="1" applyAlignment="1">
      <alignment horizontal="justify" vertical="center" wrapText="1"/>
    </xf>
    <xf numFmtId="0" fontId="22" fillId="0" borderId="3" xfId="67" applyNumberFormat="1" applyFont="1" applyFill="1" applyBorder="1" applyAlignment="1">
      <alignment horizontal="justify" vertical="center" wrapText="1"/>
    </xf>
    <xf numFmtId="0" fontId="22" fillId="0" borderId="0" xfId="67" applyNumberFormat="1" applyFont="1" applyFill="1" applyBorder="1" applyAlignment="1">
      <alignment horizontal="justify" vertical="center" wrapText="1"/>
    </xf>
    <xf numFmtId="0" fontId="22" fillId="0" borderId="42" xfId="67" applyNumberFormat="1" applyFont="1" applyFill="1" applyBorder="1" applyAlignment="1">
      <alignment horizontal="justify" vertical="center" wrapText="1"/>
    </xf>
    <xf numFmtId="0" fontId="61" fillId="0" borderId="13" xfId="55" applyFont="1" applyBorder="1" applyAlignment="1">
      <alignment horizontal="center" vertical="center" shrinkToFit="1"/>
    </xf>
    <xf numFmtId="0" fontId="61" fillId="0" borderId="44" xfId="55" applyFont="1" applyBorder="1" applyAlignment="1">
      <alignment horizontal="center" vertical="center" shrinkToFit="1"/>
    </xf>
    <xf numFmtId="0" fontId="61" fillId="0" borderId="0" xfId="55" applyFont="1" applyAlignment="1">
      <alignment horizontal="center" vertical="center" shrinkToFit="1"/>
    </xf>
    <xf numFmtId="0" fontId="61" fillId="0" borderId="42" xfId="55" applyFont="1" applyBorder="1" applyAlignment="1">
      <alignment horizontal="center" vertical="center" shrinkToFit="1"/>
    </xf>
    <xf numFmtId="0" fontId="61" fillId="0" borderId="21" xfId="55" applyFont="1" applyBorder="1" applyAlignment="1">
      <alignment horizontal="center" vertical="center" shrinkToFit="1"/>
    </xf>
    <xf numFmtId="0" fontId="61" fillId="0" borderId="1" xfId="55" applyFont="1" applyBorder="1" applyAlignment="1">
      <alignment horizontal="center" vertical="center" shrinkToFit="1"/>
    </xf>
    <xf numFmtId="0" fontId="61" fillId="0" borderId="45" xfId="55" applyFont="1" applyBorder="1" applyAlignment="1">
      <alignment horizontal="center" vertical="center" shrinkToFit="1"/>
    </xf>
    <xf numFmtId="10" fontId="61" fillId="7" borderId="9" xfId="55" applyNumberFormat="1" applyFont="1" applyFill="1" applyBorder="1" applyAlignment="1">
      <alignment horizontal="center" vertical="center" shrinkToFit="1"/>
    </xf>
    <xf numFmtId="10" fontId="61" fillId="7" borderId="19" xfId="55" applyNumberFormat="1" applyFont="1" applyFill="1" applyBorder="1" applyAlignment="1">
      <alignment horizontal="center" vertical="center" shrinkToFit="1"/>
    </xf>
    <xf numFmtId="10" fontId="61" fillId="7" borderId="20" xfId="55" applyNumberFormat="1" applyFont="1" applyFill="1" applyBorder="1" applyAlignment="1">
      <alignment horizontal="center" vertical="center" shrinkToFit="1"/>
    </xf>
    <xf numFmtId="10" fontId="61" fillId="0" borderId="9" xfId="55" applyNumberFormat="1" applyFont="1" applyBorder="1" applyAlignment="1">
      <alignment horizontal="center" vertical="center" shrinkToFit="1"/>
    </xf>
    <xf numFmtId="10" fontId="61" fillId="0" borderId="20" xfId="55" applyNumberFormat="1" applyFont="1" applyBorder="1" applyAlignment="1">
      <alignment horizontal="center" vertical="center" shrinkToFit="1"/>
    </xf>
    <xf numFmtId="0" fontId="25" fillId="23" borderId="9" xfId="59" applyFont="1" applyFill="1" applyBorder="1" applyAlignment="1">
      <alignment horizontal="right" vertical="center"/>
    </xf>
    <xf numFmtId="0" fontId="25" fillId="23" borderId="19" xfId="59" applyFont="1" applyFill="1" applyBorder="1" applyAlignment="1">
      <alignment horizontal="right" vertical="center"/>
    </xf>
    <xf numFmtId="0" fontId="25" fillId="23" borderId="20" xfId="59" applyFont="1" applyFill="1" applyBorder="1" applyAlignment="1">
      <alignment horizontal="right" vertical="center"/>
    </xf>
    <xf numFmtId="10" fontId="25" fillId="23" borderId="9" xfId="59" applyNumberFormat="1" applyFont="1" applyFill="1" applyBorder="1" applyAlignment="1">
      <alignment horizontal="center" vertical="center" shrinkToFit="1"/>
    </xf>
    <xf numFmtId="10" fontId="25" fillId="23" borderId="19" xfId="59" applyNumberFormat="1" applyFont="1" applyFill="1" applyBorder="1" applyAlignment="1">
      <alignment horizontal="center" vertical="center" shrinkToFit="1"/>
    </xf>
    <xf numFmtId="10" fontId="25" fillId="23" borderId="20" xfId="59" applyNumberFormat="1" applyFont="1" applyFill="1" applyBorder="1" applyAlignment="1">
      <alignment horizontal="center" vertical="center" shrinkToFit="1"/>
    </xf>
    <xf numFmtId="0" fontId="26" fillId="25" borderId="2" xfId="59" applyFont="1" applyFill="1" applyBorder="1" applyAlignment="1">
      <alignment horizontal="center" vertical="center" wrapText="1"/>
    </xf>
    <xf numFmtId="0" fontId="22" fillId="25" borderId="2" xfId="55" applyFont="1" applyFill="1" applyBorder="1">
      <alignment vertical="center"/>
    </xf>
    <xf numFmtId="0" fontId="78" fillId="0" borderId="2" xfId="59" applyFont="1" applyBorder="1" applyAlignment="1">
      <alignment horizontal="justify" vertical="center" wrapText="1"/>
    </xf>
    <xf numFmtId="0" fontId="78" fillId="0" borderId="2" xfId="55" applyFont="1" applyBorder="1" applyAlignment="1">
      <alignment horizontal="justify" vertical="center"/>
    </xf>
    <xf numFmtId="10" fontId="78" fillId="0" borderId="2" xfId="61" applyNumberFormat="1" applyFont="1" applyFill="1" applyBorder="1" applyAlignment="1">
      <alignment horizontal="center" vertical="center" shrinkToFit="1"/>
    </xf>
    <xf numFmtId="0" fontId="78" fillId="0" borderId="2" xfId="55" applyFont="1" applyBorder="1" applyAlignment="1">
      <alignment horizontal="center" vertical="center" shrinkToFit="1"/>
    </xf>
    <xf numFmtId="0" fontId="26" fillId="25" borderId="2" xfId="59" applyFont="1" applyFill="1" applyBorder="1" applyAlignment="1">
      <alignment horizontal="right" vertical="center" wrapText="1"/>
    </xf>
    <xf numFmtId="0" fontId="22" fillId="25" borderId="2" xfId="55" applyFont="1" applyFill="1" applyBorder="1" applyAlignment="1">
      <alignment horizontal="right" vertical="center"/>
    </xf>
    <xf numFmtId="10" fontId="26" fillId="25" borderId="2" xfId="61" applyNumberFormat="1" applyFont="1" applyFill="1" applyBorder="1" applyAlignment="1">
      <alignment horizontal="center" vertical="center" shrinkToFit="1"/>
    </xf>
    <xf numFmtId="0" fontId="22" fillId="25" borderId="2" xfId="55" applyFont="1" applyFill="1" applyBorder="1" applyAlignment="1">
      <alignment horizontal="center" vertical="center" shrinkToFit="1"/>
    </xf>
    <xf numFmtId="0" fontId="79" fillId="23" borderId="2" xfId="61" applyNumberFormat="1" applyFont="1" applyFill="1" applyBorder="1" applyAlignment="1">
      <alignment horizontal="center" vertical="center"/>
    </xf>
    <xf numFmtId="0" fontId="79" fillId="23" borderId="2" xfId="4" applyNumberFormat="1" applyFont="1" applyFill="1" applyBorder="1" applyAlignment="1">
      <alignment horizontal="center" vertical="center"/>
    </xf>
    <xf numFmtId="0" fontId="79" fillId="23" borderId="2" xfId="59" applyFont="1" applyFill="1" applyBorder="1" applyAlignment="1">
      <alignment horizontal="center" vertical="center"/>
    </xf>
    <xf numFmtId="49" fontId="51" fillId="0" borderId="9" xfId="32" applyNumberFormat="1" applyFont="1" applyBorder="1" applyAlignment="1">
      <alignment horizontal="center" vertical="center"/>
    </xf>
    <xf numFmtId="49" fontId="51" fillId="0" borderId="20" xfId="32" applyNumberFormat="1" applyFont="1" applyBorder="1" applyAlignment="1">
      <alignment horizontal="center" vertical="center"/>
    </xf>
    <xf numFmtId="0" fontId="51" fillId="0" borderId="9" xfId="32" applyFont="1" applyBorder="1" applyAlignment="1">
      <alignment horizontal="center" vertical="center"/>
    </xf>
    <xf numFmtId="0" fontId="51" fillId="0" borderId="20" xfId="32" applyFont="1" applyBorder="1" applyAlignment="1">
      <alignment horizontal="center" vertical="center"/>
    </xf>
    <xf numFmtId="0" fontId="61" fillId="0" borderId="9" xfId="23" applyFont="1" applyBorder="1" applyAlignment="1">
      <alignment horizontal="center" vertical="center"/>
    </xf>
    <xf numFmtId="0" fontId="61" fillId="0" borderId="19" xfId="23" applyFont="1" applyBorder="1" applyAlignment="1">
      <alignment horizontal="center" vertical="center"/>
    </xf>
    <xf numFmtId="0" fontId="61" fillId="0" borderId="20" xfId="23" applyFont="1" applyBorder="1" applyAlignment="1">
      <alignment horizontal="center" vertical="center"/>
    </xf>
    <xf numFmtId="0" fontId="22" fillId="0" borderId="9" xfId="4" applyNumberFormat="1" applyFont="1" applyFill="1" applyBorder="1" applyAlignment="1">
      <alignment horizontal="left" vertical="center"/>
    </xf>
    <xf numFmtId="0" fontId="22" fillId="0" borderId="19" xfId="4" applyNumberFormat="1" applyFont="1" applyFill="1" applyBorder="1" applyAlignment="1">
      <alignment horizontal="left" vertical="center"/>
    </xf>
    <xf numFmtId="0" fontId="22" fillId="0" borderId="20" xfId="4" applyNumberFormat="1" applyFont="1" applyFill="1" applyBorder="1" applyAlignment="1">
      <alignment horizontal="left" vertical="center"/>
    </xf>
    <xf numFmtId="0" fontId="61" fillId="18" borderId="8" xfId="39" applyFont="1" applyFill="1" applyBorder="1" applyAlignment="1">
      <alignment horizontal="center" vertical="center" wrapText="1"/>
    </xf>
    <xf numFmtId="0" fontId="61" fillId="18" borderId="11" xfId="39" applyFont="1" applyFill="1" applyBorder="1" applyAlignment="1">
      <alignment horizontal="center" vertical="center" wrapText="1"/>
    </xf>
    <xf numFmtId="0" fontId="61" fillId="18" borderId="31" xfId="39" applyFont="1" applyFill="1" applyBorder="1" applyAlignment="1">
      <alignment horizontal="center" vertical="center" wrapText="1"/>
    </xf>
    <xf numFmtId="0" fontId="22" fillId="0" borderId="2" xfId="59" applyFont="1" applyBorder="1" applyAlignment="1">
      <alignment horizontal="center" vertical="center"/>
    </xf>
    <xf numFmtId="0" fontId="22" fillId="0" borderId="8" xfId="59" applyFont="1" applyBorder="1" applyAlignment="1">
      <alignment horizontal="center" vertical="center"/>
    </xf>
    <xf numFmtId="0" fontId="22" fillId="0" borderId="31" xfId="59" applyFont="1" applyBorder="1" applyAlignment="1">
      <alignment horizontal="center" vertical="center"/>
    </xf>
    <xf numFmtId="0" fontId="22" fillId="0" borderId="11" xfId="59" applyFont="1" applyBorder="1" applyAlignment="1">
      <alignment horizontal="center" vertical="center"/>
    </xf>
    <xf numFmtId="10" fontId="22" fillId="0" borderId="9" xfId="61" applyNumberFormat="1" applyFont="1" applyFill="1" applyBorder="1" applyAlignment="1">
      <alignment horizontal="center" vertical="center" shrinkToFit="1"/>
    </xf>
    <xf numFmtId="0" fontId="22" fillId="0" borderId="19" xfId="55" applyFont="1" applyBorder="1" applyAlignment="1">
      <alignment horizontal="center" vertical="center" shrinkToFit="1"/>
    </xf>
    <xf numFmtId="0" fontId="22" fillId="0" borderId="20" xfId="55" applyFont="1" applyBorder="1" applyAlignment="1">
      <alignment horizontal="center" vertical="center" shrinkToFit="1"/>
    </xf>
    <xf numFmtId="0" fontId="22" fillId="0" borderId="9" xfId="55" applyFont="1" applyBorder="1" applyAlignment="1">
      <alignment horizontal="center" vertical="center" shrinkToFit="1"/>
    </xf>
    <xf numFmtId="0" fontId="57" fillId="0" borderId="9" xfId="95" applyFont="1" applyBorder="1" applyAlignment="1">
      <alignment horizontal="justify" vertical="center" wrapText="1"/>
    </xf>
    <xf numFmtId="0" fontId="57" fillId="0" borderId="19" xfId="95" applyFont="1" applyBorder="1" applyAlignment="1">
      <alignment horizontal="justify" vertical="center" wrapText="1"/>
    </xf>
    <xf numFmtId="0" fontId="57" fillId="0" borderId="20" xfId="95" applyFont="1" applyBorder="1" applyAlignment="1">
      <alignment horizontal="justify" vertical="center" wrapText="1"/>
    </xf>
    <xf numFmtId="0" fontId="56" fillId="21" borderId="9" xfId="95" applyFont="1" applyFill="1" applyBorder="1" applyAlignment="1">
      <alignment horizontal="justify" vertical="center" wrapText="1"/>
    </xf>
    <xf numFmtId="0" fontId="57" fillId="21" borderId="19" xfId="95" applyFont="1" applyFill="1" applyBorder="1" applyAlignment="1">
      <alignment horizontal="justify" vertical="center" wrapText="1"/>
    </xf>
    <xf numFmtId="0" fontId="57" fillId="21" borderId="20" xfId="95" applyFont="1" applyFill="1" applyBorder="1" applyAlignment="1">
      <alignment horizontal="justify" vertical="center" wrapText="1"/>
    </xf>
    <xf numFmtId="0" fontId="58" fillId="39" borderId="9" xfId="91" applyFont="1" applyFill="1" applyBorder="1" applyAlignment="1">
      <alignment horizontal="center" vertical="center" wrapText="1"/>
    </xf>
    <xf numFmtId="0" fontId="58" fillId="39" borderId="19" xfId="91" applyFont="1" applyFill="1" applyBorder="1" applyAlignment="1">
      <alignment horizontal="center" vertical="center" wrapText="1"/>
    </xf>
    <xf numFmtId="0" fontId="58" fillId="39" borderId="20" xfId="91" applyFont="1" applyFill="1" applyBorder="1" applyAlignment="1">
      <alignment horizontal="center" vertical="center" wrapText="1"/>
    </xf>
    <xf numFmtId="0" fontId="39" fillId="0" borderId="2" xfId="92" applyFont="1" applyBorder="1" applyAlignment="1">
      <alignment horizontal="center" vertical="center" wrapText="1"/>
    </xf>
    <xf numFmtId="0" fontId="45" fillId="42" borderId="9" xfId="91" applyFont="1" applyFill="1" applyBorder="1" applyAlignment="1">
      <alignment horizontal="right" vertical="center" wrapText="1"/>
    </xf>
    <xf numFmtId="0" fontId="45" fillId="42" borderId="20" xfId="91" applyFont="1" applyFill="1" applyBorder="1" applyAlignment="1">
      <alignment horizontal="right" vertical="center" wrapText="1"/>
    </xf>
    <xf numFmtId="0" fontId="54" fillId="40" borderId="2" xfId="91" applyFont="1" applyFill="1" applyBorder="1" applyAlignment="1">
      <alignment horizontal="right" vertical="center" wrapText="1"/>
    </xf>
    <xf numFmtId="0" fontId="55" fillId="40" borderId="2" xfId="91" applyFont="1" applyFill="1" applyBorder="1" applyAlignment="1">
      <alignment horizontal="right" vertical="center" wrapText="1"/>
    </xf>
    <xf numFmtId="0" fontId="38" fillId="43" borderId="2" xfId="91" applyFont="1" applyFill="1" applyBorder="1" applyAlignment="1">
      <alignment horizontal="right" vertical="center" wrapText="1"/>
    </xf>
    <xf numFmtId="0" fontId="1" fillId="43" borderId="2" xfId="91" applyFill="1" applyBorder="1" applyAlignment="1">
      <alignment horizontal="right" vertical="center" wrapText="1"/>
    </xf>
    <xf numFmtId="0" fontId="125" fillId="0" borderId="21" xfId="95" applyFont="1" applyBorder="1" applyAlignment="1">
      <alignment horizontal="center" vertical="center" wrapText="1"/>
    </xf>
    <xf numFmtId="0" fontId="125" fillId="0" borderId="1" xfId="95" applyFont="1" applyBorder="1" applyAlignment="1">
      <alignment horizontal="center" vertical="center" wrapText="1"/>
    </xf>
    <xf numFmtId="0" fontId="31" fillId="0" borderId="32" xfId="28" applyFont="1" applyBorder="1" applyAlignment="1">
      <alignment horizontal="center" vertical="center" wrapText="1"/>
    </xf>
    <xf numFmtId="0" fontId="31" fillId="0" borderId="13" xfId="28" applyFont="1" applyBorder="1" applyAlignment="1">
      <alignment horizontal="center" vertical="center" wrapText="1"/>
    </xf>
    <xf numFmtId="0" fontId="31" fillId="0" borderId="44" xfId="28" applyFont="1" applyBorder="1" applyAlignment="1">
      <alignment horizontal="center" vertical="center" wrapText="1"/>
    </xf>
    <xf numFmtId="0" fontId="31" fillId="0" borderId="21" xfId="28" applyFont="1" applyBorder="1" applyAlignment="1">
      <alignment horizontal="center" vertical="center" wrapText="1"/>
    </xf>
    <xf numFmtId="0" fontId="31" fillId="0" borderId="1" xfId="28" applyFont="1" applyBorder="1" applyAlignment="1">
      <alignment horizontal="center" vertical="center" wrapText="1"/>
    </xf>
    <xf numFmtId="0" fontId="31" fillId="0" borderId="45" xfId="28" applyFont="1" applyBorder="1" applyAlignment="1">
      <alignment horizontal="center" vertical="center" wrapText="1"/>
    </xf>
    <xf numFmtId="172" fontId="30" fillId="4" borderId="9" xfId="7" applyNumberFormat="1" applyFont="1" applyFill="1" applyBorder="1" applyAlignment="1">
      <alignment horizontal="center" vertical="center" wrapText="1"/>
    </xf>
    <xf numFmtId="172" fontId="30" fillId="4" borderId="19" xfId="7" applyNumberFormat="1" applyFont="1" applyFill="1" applyBorder="1" applyAlignment="1">
      <alignment horizontal="center" vertical="center" wrapText="1"/>
    </xf>
    <xf numFmtId="172" fontId="30" fillId="4" borderId="20" xfId="7" applyNumberFormat="1" applyFont="1" applyFill="1" applyBorder="1" applyAlignment="1">
      <alignment horizontal="center" vertical="center" wrapText="1"/>
    </xf>
    <xf numFmtId="0" fontId="33" fillId="0" borderId="9" xfId="28" applyFont="1" applyBorder="1" applyAlignment="1">
      <alignment horizontal="center" vertical="center" wrapText="1"/>
    </xf>
    <xf numFmtId="0" fontId="33" fillId="0" borderId="19" xfId="28" applyFont="1" applyBorder="1" applyAlignment="1">
      <alignment horizontal="center" vertical="center" wrapText="1"/>
    </xf>
    <xf numFmtId="0" fontId="33" fillId="0" borderId="20" xfId="28" applyFont="1" applyBorder="1" applyAlignment="1">
      <alignment horizontal="center" vertical="center" wrapText="1"/>
    </xf>
    <xf numFmtId="165" fontId="12" fillId="20" borderId="9" xfId="43" applyNumberFormat="1" applyFont="1" applyFill="1" applyBorder="1" applyAlignment="1">
      <alignment horizontal="center" vertical="center"/>
    </xf>
    <xf numFmtId="165" fontId="12" fillId="20" borderId="19" xfId="43" applyNumberFormat="1" applyFont="1" applyFill="1" applyBorder="1" applyAlignment="1">
      <alignment horizontal="center" vertical="center"/>
    </xf>
    <xf numFmtId="165" fontId="12" fillId="20" borderId="20" xfId="43" applyNumberFormat="1" applyFont="1" applyFill="1" applyBorder="1" applyAlignment="1">
      <alignment horizontal="center" vertical="center"/>
    </xf>
    <xf numFmtId="0" fontId="116" fillId="21" borderId="2" xfId="43" applyFont="1" applyFill="1" applyBorder="1" applyAlignment="1">
      <alignment horizontal="center" vertical="center"/>
    </xf>
    <xf numFmtId="172" fontId="117" fillId="21" borderId="2" xfId="43" applyNumberFormat="1" applyFont="1" applyFill="1" applyBorder="1" applyAlignment="1">
      <alignment horizontal="center" vertical="center"/>
    </xf>
    <xf numFmtId="44" fontId="117" fillId="21" borderId="2" xfId="43" applyNumberFormat="1" applyFont="1" applyFill="1" applyBorder="1" applyAlignment="1">
      <alignment horizontal="center" vertical="center"/>
    </xf>
    <xf numFmtId="0" fontId="30" fillId="16" borderId="2" xfId="28" applyFont="1" applyFill="1" applyBorder="1" applyAlignment="1">
      <alignment horizontal="center" vertical="center" wrapText="1"/>
    </xf>
    <xf numFmtId="0" fontId="32" fillId="18" borderId="8" xfId="28" applyFont="1" applyFill="1" applyBorder="1" applyAlignment="1">
      <alignment horizontal="center" vertical="center" wrapText="1"/>
    </xf>
    <xf numFmtId="0" fontId="32" fillId="18" borderId="11" xfId="28" applyFont="1" applyFill="1" applyBorder="1" applyAlignment="1">
      <alignment horizontal="center" vertical="center" wrapText="1"/>
    </xf>
    <xf numFmtId="10" fontId="9" fillId="0" borderId="8" xfId="0" applyNumberFormat="1" applyFont="1" applyBorder="1" applyAlignment="1">
      <alignment horizontal="center" vertical="center"/>
    </xf>
    <xf numFmtId="10" fontId="9" fillId="0" borderId="11" xfId="0" applyNumberFormat="1" applyFont="1" applyBorder="1" applyAlignment="1">
      <alignment horizontal="center" vertical="center"/>
    </xf>
    <xf numFmtId="0" fontId="19" fillId="0" borderId="9" xfId="43" applyFont="1" applyBorder="1" applyAlignment="1">
      <alignment horizontal="justify" vertical="center" wrapText="1"/>
    </xf>
    <xf numFmtId="0" fontId="108" fillId="0" borderId="19" xfId="43" applyFont="1" applyBorder="1" applyAlignment="1">
      <alignment horizontal="justify" vertical="center" wrapText="1"/>
    </xf>
    <xf numFmtId="0" fontId="108" fillId="0" borderId="20" xfId="43" applyFont="1" applyBorder="1" applyAlignment="1">
      <alignment horizontal="justify" vertical="center" wrapText="1"/>
    </xf>
    <xf numFmtId="0" fontId="108" fillId="0" borderId="9" xfId="43" applyFont="1" applyBorder="1" applyAlignment="1">
      <alignment horizontal="justify" vertical="center" wrapText="1"/>
    </xf>
    <xf numFmtId="0" fontId="19" fillId="0" borderId="2" xfId="0" applyFont="1" applyBorder="1" applyAlignment="1">
      <alignment horizontal="center" vertical="center"/>
    </xf>
    <xf numFmtId="0" fontId="19" fillId="0" borderId="8" xfId="0" applyFont="1" applyBorder="1" applyAlignment="1">
      <alignment horizontal="center"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35" xfId="0" applyFont="1" applyBorder="1" applyAlignment="1">
      <alignment horizontal="center" vertical="center"/>
    </xf>
    <xf numFmtId="0" fontId="19" fillId="0" borderId="36" xfId="0" applyFont="1" applyBorder="1" applyAlignment="1">
      <alignment horizontal="center" vertical="center"/>
    </xf>
    <xf numFmtId="0" fontId="10" fillId="15" borderId="9" xfId="0" applyFont="1" applyFill="1" applyBorder="1" applyAlignment="1">
      <alignment horizontal="center" vertical="center" wrapText="1"/>
    </xf>
    <xf numFmtId="0" fontId="10" fillId="15" borderId="19" xfId="0" applyFont="1" applyFill="1" applyBorder="1" applyAlignment="1">
      <alignment horizontal="center" vertical="center" wrapText="1"/>
    </xf>
    <xf numFmtId="0" fontId="10" fillId="15" borderId="20" xfId="0" applyFont="1" applyFill="1" applyBorder="1" applyAlignment="1">
      <alignment horizontal="center" vertical="center" wrapText="1"/>
    </xf>
    <xf numFmtId="40" fontId="9" fillId="0" borderId="2" xfId="0" applyNumberFormat="1" applyFont="1" applyBorder="1" applyAlignment="1">
      <alignment horizontal="center" vertical="center" wrapText="1"/>
    </xf>
    <xf numFmtId="0" fontId="9" fillId="16" borderId="2" xfId="0" applyFont="1" applyFill="1" applyBorder="1" applyAlignment="1">
      <alignment horizontal="center" vertical="center" wrapText="1"/>
    </xf>
    <xf numFmtId="0" fontId="9" fillId="16" borderId="9" xfId="0" applyFont="1" applyFill="1" applyBorder="1" applyAlignment="1">
      <alignment horizontal="center" vertical="center" wrapText="1"/>
    </xf>
    <xf numFmtId="0" fontId="19" fillId="16" borderId="2" xfId="0" applyFont="1" applyFill="1" applyBorder="1" applyAlignment="1">
      <alignment horizontal="center" vertical="center" wrapText="1"/>
    </xf>
    <xf numFmtId="0" fontId="19" fillId="16" borderId="9" xfId="0" applyFont="1" applyFill="1" applyBorder="1" applyAlignment="1">
      <alignment horizontal="center" vertical="center" wrapText="1"/>
    </xf>
    <xf numFmtId="40" fontId="9" fillId="0" borderId="32" xfId="0" applyNumberFormat="1" applyFont="1" applyBorder="1" applyAlignment="1">
      <alignment horizontal="center" vertical="center"/>
    </xf>
    <xf numFmtId="40" fontId="9" fillId="0" borderId="21" xfId="0" applyNumberFormat="1" applyFont="1" applyBorder="1" applyAlignment="1">
      <alignment horizontal="center" vertical="center"/>
    </xf>
    <xf numFmtId="0" fontId="19" fillId="0" borderId="2" xfId="43" applyFont="1" applyBorder="1" applyAlignment="1">
      <alignment horizontal="justify" vertical="center" wrapText="1"/>
    </xf>
    <xf numFmtId="0" fontId="12" fillId="0" borderId="2" xfId="43" applyFont="1" applyBorder="1" applyAlignment="1">
      <alignment horizontal="justify" vertical="center" wrapText="1"/>
    </xf>
    <xf numFmtId="0" fontId="19" fillId="0" borderId="19" xfId="43" applyFont="1" applyBorder="1" applyAlignment="1">
      <alignment horizontal="justify" vertical="center" wrapText="1"/>
    </xf>
    <xf numFmtId="0" fontId="19" fillId="0" borderId="20" xfId="43" applyFont="1" applyBorder="1" applyAlignment="1">
      <alignment horizontal="justify" vertical="center" wrapText="1"/>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0" fontId="9" fillId="15" borderId="2" xfId="0" applyFont="1" applyFill="1" applyBorder="1" applyAlignment="1">
      <alignment horizontal="center" vertical="center" wrapText="1"/>
    </xf>
    <xf numFmtId="0" fontId="68" fillId="19" borderId="68" xfId="0" applyFont="1" applyFill="1" applyBorder="1" applyAlignment="1">
      <alignment horizontal="center" vertical="center"/>
    </xf>
    <xf numFmtId="0" fontId="68" fillId="19" borderId="69" xfId="0" applyFont="1" applyFill="1" applyBorder="1" applyAlignment="1">
      <alignment horizontal="center" vertical="center"/>
    </xf>
    <xf numFmtId="0" fontId="68" fillId="19" borderId="70" xfId="0" applyFont="1" applyFill="1" applyBorder="1" applyAlignment="1">
      <alignment horizontal="center" vertical="center"/>
    </xf>
    <xf numFmtId="0" fontId="9" fillId="25" borderId="9" xfId="0" applyFont="1" applyFill="1" applyBorder="1" applyAlignment="1">
      <alignment horizontal="center" vertical="center"/>
    </xf>
    <xf numFmtId="0" fontId="9" fillId="25" borderId="19" xfId="0" applyFont="1" applyFill="1" applyBorder="1" applyAlignment="1">
      <alignment horizontal="center" vertical="center"/>
    </xf>
    <xf numFmtId="0" fontId="9" fillId="25" borderId="20" xfId="0" applyFont="1" applyFill="1" applyBorder="1" applyAlignment="1">
      <alignment horizontal="center" vertical="center"/>
    </xf>
    <xf numFmtId="0" fontId="9" fillId="29" borderId="9" xfId="46" applyFont="1" applyFill="1" applyBorder="1" applyAlignment="1">
      <alignment horizontal="center" vertical="center"/>
    </xf>
    <xf numFmtId="0" fontId="9" fillId="29" borderId="19" xfId="46" applyFont="1" applyFill="1" applyBorder="1" applyAlignment="1">
      <alignment horizontal="center" vertical="center"/>
    </xf>
    <xf numFmtId="0" fontId="9" fillId="29" borderId="20" xfId="46" applyFont="1" applyFill="1" applyBorder="1" applyAlignment="1">
      <alignment horizontal="center" vertical="center"/>
    </xf>
    <xf numFmtId="0" fontId="9" fillId="29" borderId="2" xfId="46" applyFont="1" applyFill="1" applyBorder="1" applyAlignment="1">
      <alignment horizontal="right" vertical="center"/>
    </xf>
    <xf numFmtId="0" fontId="9" fillId="29" borderId="21" xfId="46" applyFont="1" applyFill="1" applyBorder="1" applyAlignment="1">
      <alignment horizontal="right" vertical="center"/>
    </xf>
    <xf numFmtId="0" fontId="19" fillId="0" borderId="19" xfId="46" applyFont="1" applyBorder="1" applyAlignment="1">
      <alignment horizontal="center" vertical="center"/>
    </xf>
    <xf numFmtId="0" fontId="19" fillId="0" borderId="45" xfId="46" applyFont="1" applyBorder="1" applyAlignment="1">
      <alignment horizontal="center" vertical="center"/>
    </xf>
    <xf numFmtId="0" fontId="66" fillId="0" borderId="19" xfId="46" applyFont="1" applyBorder="1" applyAlignment="1">
      <alignment horizontal="justify" vertical="center" wrapText="1"/>
    </xf>
    <xf numFmtId="0" fontId="66" fillId="0" borderId="19" xfId="46" applyFont="1" applyBorder="1" applyAlignment="1">
      <alignment horizontal="justify" vertical="center"/>
    </xf>
    <xf numFmtId="0" fontId="66" fillId="0" borderId="20" xfId="46" applyFont="1" applyBorder="1" applyAlignment="1">
      <alignment horizontal="justify" vertical="center"/>
    </xf>
    <xf numFmtId="0" fontId="9" fillId="0" borderId="9" xfId="46" applyFont="1" applyBorder="1" applyAlignment="1">
      <alignment horizontal="center" vertical="center"/>
    </xf>
    <xf numFmtId="0" fontId="9" fillId="0" borderId="19" xfId="46" applyFont="1" applyBorder="1" applyAlignment="1">
      <alignment horizontal="center" vertical="center"/>
    </xf>
    <xf numFmtId="0" fontId="9" fillId="0" borderId="20" xfId="46" applyFont="1" applyBorder="1" applyAlignment="1">
      <alignment horizontal="center" vertical="center"/>
    </xf>
    <xf numFmtId="0" fontId="19" fillId="0" borderId="2" xfId="46" applyFont="1" applyBorder="1" applyAlignment="1">
      <alignment horizontal="center" vertical="center"/>
    </xf>
    <xf numFmtId="0" fontId="9" fillId="0" borderId="2" xfId="46" applyFont="1" applyBorder="1" applyAlignment="1">
      <alignment horizontal="center" vertical="center"/>
    </xf>
    <xf numFmtId="0" fontId="110" fillId="19" borderId="33" xfId="0" applyFont="1" applyFill="1" applyBorder="1" applyAlignment="1">
      <alignment horizontal="center" vertical="center"/>
    </xf>
    <xf numFmtId="0" fontId="110" fillId="19" borderId="34" xfId="0" applyFont="1" applyFill="1" applyBorder="1" applyAlignment="1">
      <alignment horizontal="center" vertical="center"/>
    </xf>
    <xf numFmtId="0" fontId="110" fillId="19" borderId="35" xfId="0" applyFont="1" applyFill="1" applyBorder="1" applyAlignment="1">
      <alignment horizontal="center" vertical="center"/>
    </xf>
    <xf numFmtId="0" fontId="9" fillId="28" borderId="9" xfId="43" applyFont="1" applyFill="1" applyBorder="1" applyAlignment="1">
      <alignment horizontal="center" vertical="center"/>
    </xf>
    <xf numFmtId="0" fontId="9" fillId="28" borderId="19" xfId="43" applyFont="1" applyFill="1" applyBorder="1" applyAlignment="1">
      <alignment horizontal="center" vertical="center"/>
    </xf>
    <xf numFmtId="0" fontId="9" fillId="28" borderId="20" xfId="43" applyFont="1" applyFill="1" applyBorder="1" applyAlignment="1">
      <alignment horizontal="center" vertical="center"/>
    </xf>
    <xf numFmtId="0" fontId="131" fillId="0" borderId="2" xfId="43" applyFont="1" applyBorder="1" applyAlignment="1">
      <alignment horizontal="justify" vertical="center"/>
    </xf>
    <xf numFmtId="0" fontId="5" fillId="3" borderId="4" xfId="52" applyFont="1" applyFill="1" applyBorder="1" applyAlignment="1">
      <alignment horizontal="center" vertical="center"/>
    </xf>
    <xf numFmtId="0" fontId="5" fillId="3" borderId="5" xfId="52" applyFont="1" applyFill="1" applyBorder="1" applyAlignment="1">
      <alignment horizontal="center" vertical="center"/>
    </xf>
    <xf numFmtId="0" fontId="5" fillId="3" borderId="6" xfId="52" applyFont="1" applyFill="1" applyBorder="1" applyAlignment="1">
      <alignment horizontal="center" vertical="center"/>
    </xf>
    <xf numFmtId="0" fontId="5" fillId="12" borderId="4" xfId="52" applyFont="1" applyFill="1" applyBorder="1" applyAlignment="1">
      <alignment horizontal="center" vertical="center"/>
    </xf>
    <xf numFmtId="0" fontId="5" fillId="12" borderId="5" xfId="52" applyFont="1" applyFill="1" applyBorder="1" applyAlignment="1">
      <alignment horizontal="center" vertical="center"/>
    </xf>
    <xf numFmtId="0" fontId="5" fillId="0" borderId="2" xfId="52" applyFont="1" applyBorder="1" applyAlignment="1">
      <alignment horizontal="center" vertical="center" wrapText="1"/>
    </xf>
    <xf numFmtId="0" fontId="9" fillId="3" borderId="16" xfId="52" applyFont="1" applyFill="1" applyBorder="1" applyAlignment="1">
      <alignment horizontal="center" vertical="center"/>
    </xf>
    <xf numFmtId="0" fontId="9" fillId="3" borderId="17" xfId="52" applyFont="1" applyFill="1" applyBorder="1" applyAlignment="1">
      <alignment horizontal="center" vertical="center"/>
    </xf>
    <xf numFmtId="0" fontId="5" fillId="4" borderId="19" xfId="52" applyFont="1" applyFill="1" applyBorder="1" applyAlignment="1">
      <alignment horizontal="right" vertical="center"/>
    </xf>
    <xf numFmtId="0" fontId="5" fillId="4" borderId="20" xfId="52" applyFont="1" applyFill="1" applyBorder="1" applyAlignment="1">
      <alignment horizontal="right" vertical="center"/>
    </xf>
    <xf numFmtId="0" fontId="5" fillId="12" borderId="16" xfId="52" applyFont="1" applyFill="1" applyBorder="1" applyAlignment="1">
      <alignment horizontal="center" vertical="center"/>
    </xf>
    <xf numFmtId="0" fontId="5" fillId="12" borderId="17" xfId="52" applyFont="1" applyFill="1" applyBorder="1" applyAlignment="1">
      <alignment horizontal="center" vertical="center"/>
    </xf>
    <xf numFmtId="0" fontId="6" fillId="2" borderId="2" xfId="52" applyFont="1" applyFill="1" applyBorder="1" applyAlignment="1">
      <alignment horizontal="center" vertical="center" wrapText="1"/>
    </xf>
    <xf numFmtId="0" fontId="4" fillId="0" borderId="2" xfId="52" applyFont="1" applyBorder="1" applyAlignment="1">
      <alignment horizontal="center" vertical="center" wrapText="1"/>
    </xf>
    <xf numFmtId="0" fontId="4" fillId="0" borderId="2" xfId="52" applyFont="1" applyBorder="1" applyAlignment="1">
      <alignment horizontal="center" vertical="center"/>
    </xf>
    <xf numFmtId="169" fontId="4" fillId="0" borderId="9" xfId="52" applyNumberFormat="1" applyFont="1" applyBorder="1" applyAlignment="1">
      <alignment horizontal="justify" vertical="center" wrapText="1"/>
    </xf>
    <xf numFmtId="169" fontId="4" fillId="0" borderId="19" xfId="52" applyNumberFormat="1" applyFont="1" applyBorder="1" applyAlignment="1">
      <alignment horizontal="justify" vertical="center" wrapText="1"/>
    </xf>
    <xf numFmtId="169" fontId="4" fillId="0" borderId="20" xfId="52" applyNumberFormat="1" applyFont="1" applyBorder="1" applyAlignment="1">
      <alignment horizontal="justify" vertical="center" wrapText="1"/>
    </xf>
    <xf numFmtId="0" fontId="5" fillId="4" borderId="7" xfId="52" applyFont="1" applyFill="1" applyBorder="1" applyAlignment="1">
      <alignment horizontal="center" vertical="center"/>
    </xf>
    <xf numFmtId="0" fontId="5" fillId="4" borderId="10" xfId="52" applyFont="1" applyFill="1" applyBorder="1" applyAlignment="1">
      <alignment horizontal="center" vertical="center"/>
    </xf>
    <xf numFmtId="169" fontId="5" fillId="4" borderId="8" xfId="52" applyNumberFormat="1" applyFont="1" applyFill="1" applyBorder="1" applyAlignment="1">
      <alignment horizontal="center" vertical="center"/>
    </xf>
    <xf numFmtId="169" fontId="5" fillId="4" borderId="11" xfId="52" applyNumberFormat="1" applyFont="1" applyFill="1" applyBorder="1" applyAlignment="1">
      <alignment horizontal="center" vertical="center"/>
    </xf>
    <xf numFmtId="0" fontId="5" fillId="13" borderId="12" xfId="52" applyFont="1" applyFill="1" applyBorder="1" applyAlignment="1">
      <alignment horizontal="center" vertical="center"/>
    </xf>
    <xf numFmtId="0" fontId="5" fillId="13" borderId="2" xfId="52" applyFont="1" applyFill="1" applyBorder="1" applyAlignment="1">
      <alignment horizontal="center" vertical="center"/>
    </xf>
    <xf numFmtId="0" fontId="5" fillId="13" borderId="19" xfId="52" applyFont="1" applyFill="1" applyBorder="1" applyAlignment="1">
      <alignment horizontal="right" vertical="center"/>
    </xf>
    <xf numFmtId="0" fontId="5" fillId="13" borderId="20" xfId="52" applyFont="1" applyFill="1" applyBorder="1" applyAlignment="1">
      <alignment horizontal="right" vertical="center"/>
    </xf>
    <xf numFmtId="169" fontId="4" fillId="0" borderId="9" xfId="52" applyNumberFormat="1" applyFont="1" applyBorder="1" applyAlignment="1">
      <alignment horizontal="justify" vertical="center"/>
    </xf>
    <xf numFmtId="169" fontId="4" fillId="0" borderId="19" xfId="52" applyNumberFormat="1" applyFont="1" applyBorder="1" applyAlignment="1">
      <alignment horizontal="justify" vertical="center"/>
    </xf>
    <xf numFmtId="169" fontId="4" fillId="0" borderId="20" xfId="52" applyNumberFormat="1" applyFont="1" applyBorder="1" applyAlignment="1">
      <alignment horizontal="justify" vertical="center"/>
    </xf>
    <xf numFmtId="0" fontId="65" fillId="28" borderId="9" xfId="43" applyFont="1" applyFill="1" applyBorder="1" applyAlignment="1" applyProtection="1">
      <alignment horizontal="center" vertical="center" wrapText="1"/>
      <protection locked="0"/>
    </xf>
    <xf numFmtId="0" fontId="65" fillId="28" borderId="20" xfId="43" applyFont="1" applyFill="1" applyBorder="1" applyAlignment="1" applyProtection="1">
      <alignment horizontal="center" vertical="center" wrapText="1"/>
      <protection locked="0"/>
    </xf>
    <xf numFmtId="0" fontId="65" fillId="28" borderId="8" xfId="43" applyFont="1" applyFill="1" applyBorder="1" applyAlignment="1" applyProtection="1">
      <alignment horizontal="center" vertical="center" wrapText="1"/>
      <protection locked="0"/>
    </xf>
    <xf numFmtId="0" fontId="65" fillId="28" borderId="11" xfId="43" applyFont="1" applyFill="1" applyBorder="1" applyAlignment="1" applyProtection="1">
      <alignment horizontal="center" vertical="center" wrapText="1"/>
      <protection locked="0"/>
    </xf>
    <xf numFmtId="0" fontId="110" fillId="15" borderId="2" xfId="0" applyFont="1" applyFill="1" applyBorder="1" applyAlignment="1">
      <alignment horizontal="center" vertical="center" wrapText="1"/>
    </xf>
    <xf numFmtId="0" fontId="5" fillId="12" borderId="4" xfId="53" applyFont="1" applyFill="1" applyBorder="1" applyAlignment="1">
      <alignment horizontal="center" vertical="center"/>
    </xf>
    <xf numFmtId="0" fontId="5" fillId="12" borderId="5" xfId="53" applyFont="1" applyFill="1" applyBorder="1" applyAlignment="1">
      <alignment horizontal="center" vertical="center"/>
    </xf>
    <xf numFmtId="0" fontId="5" fillId="0" borderId="2" xfId="53" applyFont="1" applyBorder="1" applyAlignment="1">
      <alignment horizontal="center" vertical="center" wrapText="1"/>
    </xf>
    <xf numFmtId="0" fontId="9" fillId="3" borderId="16" xfId="53" applyFont="1" applyFill="1" applyBorder="1" applyAlignment="1">
      <alignment horizontal="center" vertical="center"/>
    </xf>
    <xf numFmtId="0" fontId="9" fillId="3" borderId="17" xfId="53" applyFont="1" applyFill="1" applyBorder="1" applyAlignment="1">
      <alignment horizontal="center" vertical="center"/>
    </xf>
    <xf numFmtId="0" fontId="5" fillId="12" borderId="16" xfId="53" applyFont="1" applyFill="1" applyBorder="1" applyAlignment="1">
      <alignment horizontal="center" vertical="center"/>
    </xf>
    <xf numFmtId="0" fontId="5" fillId="12" borderId="17" xfId="53" applyFont="1" applyFill="1" applyBorder="1" applyAlignment="1">
      <alignment horizontal="center" vertical="center"/>
    </xf>
    <xf numFmtId="0" fontId="5" fillId="13" borderId="12" xfId="53" applyFont="1" applyFill="1" applyBorder="1" applyAlignment="1">
      <alignment horizontal="center" vertical="center"/>
    </xf>
    <xf numFmtId="0" fontId="5" fillId="13" borderId="2" xfId="53" applyFont="1" applyFill="1" applyBorder="1" applyAlignment="1">
      <alignment horizontal="center" vertical="center"/>
    </xf>
    <xf numFmtId="169" fontId="4" fillId="0" borderId="2" xfId="53" applyNumberFormat="1" applyFont="1" applyBorder="1" applyAlignment="1">
      <alignment horizontal="center" vertical="center"/>
    </xf>
    <xf numFmtId="169" fontId="5" fillId="0" borderId="2" xfId="53" applyNumberFormat="1" applyFont="1" applyBorder="1" applyAlignment="1">
      <alignment horizontal="center" vertical="center"/>
    </xf>
    <xf numFmtId="0" fontId="5" fillId="8" borderId="9" xfId="53" applyFont="1" applyFill="1" applyBorder="1" applyAlignment="1">
      <alignment horizontal="center" vertical="center"/>
    </xf>
    <xf numFmtId="0" fontId="5" fillId="8" borderId="19" xfId="53" applyFont="1" applyFill="1" applyBorder="1" applyAlignment="1">
      <alignment horizontal="center" vertical="center"/>
    </xf>
    <xf numFmtId="0" fontId="5" fillId="8" borderId="20" xfId="53" applyFont="1" applyFill="1" applyBorder="1" applyAlignment="1">
      <alignment horizontal="center" vertical="center"/>
    </xf>
    <xf numFmtId="169" fontId="15" fillId="10" borderId="2" xfId="49" applyNumberFormat="1" applyFont="1" applyFill="1" applyBorder="1" applyAlignment="1">
      <alignment horizontal="center" vertical="center"/>
    </xf>
    <xf numFmtId="169" fontId="16" fillId="0" borderId="2" xfId="49" applyNumberFormat="1" applyFont="1" applyBorder="1" applyAlignment="1">
      <alignment horizontal="center" vertical="center"/>
    </xf>
    <xf numFmtId="0" fontId="5" fillId="4" borderId="7" xfId="53" applyFont="1" applyFill="1" applyBorder="1" applyAlignment="1">
      <alignment horizontal="center" vertical="center"/>
    </xf>
    <xf numFmtId="0" fontId="5" fillId="4" borderId="10" xfId="53" applyFont="1" applyFill="1" applyBorder="1" applyAlignment="1">
      <alignment horizontal="center" vertical="center"/>
    </xf>
    <xf numFmtId="169" fontId="5" fillId="4" borderId="8" xfId="53" applyNumberFormat="1" applyFont="1" applyFill="1" applyBorder="1" applyAlignment="1">
      <alignment horizontal="center" vertical="center"/>
    </xf>
    <xf numFmtId="169" fontId="5" fillId="4" borderId="11" xfId="53" applyNumberFormat="1" applyFont="1" applyFill="1" applyBorder="1" applyAlignment="1">
      <alignment horizontal="center" vertical="center"/>
    </xf>
    <xf numFmtId="0" fontId="4" fillId="0" borderId="2" xfId="53" applyFont="1" applyBorder="1" applyAlignment="1">
      <alignment horizontal="center" vertical="center" wrapText="1"/>
    </xf>
    <xf numFmtId="0" fontId="4" fillId="0" borderId="2" xfId="53" applyFont="1" applyBorder="1" applyAlignment="1">
      <alignment horizontal="center" vertical="center"/>
    </xf>
    <xf numFmtId="0" fontId="6" fillId="2" borderId="2" xfId="53" applyFont="1" applyFill="1" applyBorder="1" applyAlignment="1">
      <alignment horizontal="center" vertical="center" wrapText="1"/>
    </xf>
    <xf numFmtId="0" fontId="5" fillId="3" borderId="4" xfId="53" applyFont="1" applyFill="1" applyBorder="1" applyAlignment="1">
      <alignment horizontal="center" vertical="center"/>
    </xf>
    <xf numFmtId="0" fontId="5" fillId="3" borderId="5" xfId="53" applyFont="1" applyFill="1" applyBorder="1" applyAlignment="1">
      <alignment horizontal="center" vertical="center"/>
    </xf>
    <xf numFmtId="0" fontId="5" fillId="3" borderId="6" xfId="53" applyFont="1" applyFill="1" applyBorder="1" applyAlignment="1">
      <alignment horizontal="center" vertical="center"/>
    </xf>
    <xf numFmtId="169" fontId="4" fillId="0" borderId="2" xfId="52" applyNumberFormat="1" applyFont="1" applyBorder="1" applyAlignment="1">
      <alignment horizontal="center" vertical="center"/>
    </xf>
    <xf numFmtId="169" fontId="5" fillId="0" borderId="2" xfId="52" applyNumberFormat="1" applyFont="1" applyBorder="1" applyAlignment="1">
      <alignment horizontal="center" vertical="center"/>
    </xf>
    <xf numFmtId="169" fontId="4" fillId="7" borderId="2" xfId="52" applyNumberFormat="1" applyFont="1" applyFill="1" applyBorder="1" applyAlignment="1">
      <alignment horizontal="center" vertical="center"/>
    </xf>
    <xf numFmtId="0" fontId="5" fillId="8" borderId="9" xfId="52" applyFont="1" applyFill="1" applyBorder="1" applyAlignment="1">
      <alignment horizontal="center" vertical="center"/>
    </xf>
    <xf numFmtId="0" fontId="5" fillId="8" borderId="19" xfId="52" applyFont="1" applyFill="1" applyBorder="1" applyAlignment="1">
      <alignment horizontal="center" vertical="center"/>
    </xf>
    <xf numFmtId="0" fontId="5" fillId="8" borderId="20" xfId="52" applyFont="1" applyFill="1" applyBorder="1" applyAlignment="1">
      <alignment horizontal="center" vertical="center"/>
    </xf>
    <xf numFmtId="169" fontId="15" fillId="10" borderId="2" xfId="48" applyNumberFormat="1" applyFont="1" applyFill="1" applyBorder="1" applyAlignment="1">
      <alignment horizontal="center" vertical="center"/>
    </xf>
    <xf numFmtId="169" fontId="16" fillId="0" borderId="2" xfId="48" applyNumberFormat="1" applyFont="1" applyBorder="1" applyAlignment="1">
      <alignment horizontal="center" vertical="center"/>
    </xf>
  </cellXfs>
  <cellStyles count="96">
    <cellStyle name="Moeda" xfId="1" builtinId="4"/>
    <cellStyle name="Moeda 10" xfId="2"/>
    <cellStyle name="Moeda 10 2" xfId="72"/>
    <cellStyle name="Moeda 11" xfId="87"/>
    <cellStyle name="Moeda 12" xfId="90"/>
    <cellStyle name="Moeda 2" xfId="3"/>
    <cellStyle name="Moeda 2 2" xfId="4"/>
    <cellStyle name="Moeda 2 2 2" xfId="5"/>
    <cellStyle name="Moeda 2 3" xfId="73"/>
    <cellStyle name="Moeda 3" xfId="6"/>
    <cellStyle name="Moeda 4" xfId="7"/>
    <cellStyle name="Moeda 4 2" xfId="8"/>
    <cellStyle name="Moeda 4 2 2" xfId="75"/>
    <cellStyle name="Moeda 4 3" xfId="74"/>
    <cellStyle name="Moeda 5" xfId="9"/>
    <cellStyle name="Moeda 5 2" xfId="10"/>
    <cellStyle name="Moeda 5 2 2" xfId="77"/>
    <cellStyle name="Moeda 5 3" xfId="76"/>
    <cellStyle name="Moeda 6" xfId="11"/>
    <cellStyle name="Moeda 6 2" xfId="78"/>
    <cellStyle name="Moeda 7" xfId="12"/>
    <cellStyle name="Moeda 7 2" xfId="79"/>
    <cellStyle name="Moeda 8" xfId="71"/>
    <cellStyle name="Moeda 9" xfId="13"/>
    <cellStyle name="Moeda 9 2" xfId="80"/>
    <cellStyle name="Normal" xfId="0" builtinId="0"/>
    <cellStyle name="Normal 10" xfId="14"/>
    <cellStyle name="Normal 11" xfId="86"/>
    <cellStyle name="Normal 11 2" xfId="15"/>
    <cellStyle name="Normal 11 2 2" xfId="16"/>
    <cellStyle name="Normal 11 2 3" xfId="17"/>
    <cellStyle name="Normal 12" xfId="18"/>
    <cellStyle name="Normal 13" xfId="19"/>
    <cellStyle name="Normal 14" xfId="89"/>
    <cellStyle name="Normal 2" xfId="20"/>
    <cellStyle name="Normal 2 2" xfId="21"/>
    <cellStyle name="Normal 2 2 2" xfId="22"/>
    <cellStyle name="Normal 2 2 2 2" xfId="23"/>
    <cellStyle name="Normal 2 2 2 2 2" xfId="24"/>
    <cellStyle name="Normal 2 2 2 2 3" xfId="25"/>
    <cellStyle name="Normal 2 3" xfId="26"/>
    <cellStyle name="Normal 2 4" xfId="27"/>
    <cellStyle name="Normal 2 4 2" xfId="28"/>
    <cellStyle name="Normal 2 5" xfId="29"/>
    <cellStyle name="Normal 2 5 2 2" xfId="30"/>
    <cellStyle name="Normal 2 5 2 2 2" xfId="31"/>
    <cellStyle name="Normal 2 5 2 2 2 2" xfId="32"/>
    <cellStyle name="Normal 2 5 2 2 2 2 2" xfId="92"/>
    <cellStyle name="Normal 2 6" xfId="33"/>
    <cellStyle name="Normal 2 6 2" xfId="34"/>
    <cellStyle name="Normal 2 7" xfId="35"/>
    <cellStyle name="Normal 2 8" xfId="36"/>
    <cellStyle name="Normal 2 8 2" xfId="37"/>
    <cellStyle name="Normal 2 9" xfId="38"/>
    <cellStyle name="Normal 2 9 2" xfId="39"/>
    <cellStyle name="Normal 2 9 2 3" xfId="40"/>
    <cellStyle name="Normal 2 9 2 3 2" xfId="94"/>
    <cellStyle name="Normal 2 9 3" xfId="41"/>
    <cellStyle name="Normal 2 9 3 2" xfId="93"/>
    <cellStyle name="Normal 2 9 4" xfId="42"/>
    <cellStyle name="Normal 2 9 4 2" xfId="91"/>
    <cellStyle name="Normal 3" xfId="43"/>
    <cellStyle name="Normal 3 2" xfId="44"/>
    <cellStyle name="Normal 4" xfId="45"/>
    <cellStyle name="Normal 4 2" xfId="46"/>
    <cellStyle name="Normal 5" xfId="47"/>
    <cellStyle name="Normal 5 2 2" xfId="48"/>
    <cellStyle name="Normal 5 3" xfId="49"/>
    <cellStyle name="Normal 6" xfId="50"/>
    <cellStyle name="Normal 6 2 2" xfId="51"/>
    <cellStyle name="Normal 6 4 2" xfId="52"/>
    <cellStyle name="Normal 6 4 3" xfId="53"/>
    <cellStyle name="Normal 7" xfId="54"/>
    <cellStyle name="Normal 7 2" xfId="55"/>
    <cellStyle name="Normal 7 3" xfId="88"/>
    <cellStyle name="Normal 8" xfId="56"/>
    <cellStyle name="Normal 9" xfId="57"/>
    <cellStyle name="Normal 9 2" xfId="58"/>
    <cellStyle name="Normal_Planilha em Proposta 123 de 2003" xfId="59"/>
    <cellStyle name="Porcentagem 2" xfId="60"/>
    <cellStyle name="Porcentagem 2 2" xfId="61"/>
    <cellStyle name="Porcentagem 3" xfId="62"/>
    <cellStyle name="Porcentagem 5 2" xfId="63"/>
    <cellStyle name="Separador de milhares 2" xfId="64"/>
    <cellStyle name="Separador de milhares 2 2" xfId="81"/>
    <cellStyle name="TableStyleLight1" xfId="65"/>
    <cellStyle name="TableStyleLight1 2" xfId="95"/>
    <cellStyle name="Vírgula 2" xfId="66"/>
    <cellStyle name="Vírgula 2 2" xfId="82"/>
    <cellStyle name="Vírgula 2 2 2" xfId="67"/>
    <cellStyle name="Vírgula 2 2 2 2" xfId="83"/>
    <cellStyle name="Vírgula 3" xfId="68"/>
    <cellStyle name="Vírgula 3 2" xfId="84"/>
    <cellStyle name="Vírgula 4" xfId="70"/>
    <cellStyle name="Vírgula 6" xfId="69"/>
    <cellStyle name="Vírgula 6 2" xfId="85"/>
  </cellStyles>
  <dxfs count="15">
    <dxf>
      <fill>
        <patternFill patternType="solid">
          <bgColor rgb="FF92D050"/>
        </patternFill>
      </fill>
    </dxf>
    <dxf>
      <fill>
        <patternFill patternType="solid">
          <bgColor rgb="FF7030A0"/>
        </patternFill>
      </fill>
    </dxf>
    <dxf>
      <fill>
        <patternFill patternType="solid">
          <bgColor rgb="FF92D050"/>
        </patternFill>
      </fill>
    </dxf>
    <dxf>
      <fill>
        <patternFill patternType="solid">
          <bgColor rgb="FFFF0000"/>
        </patternFill>
      </fill>
    </dxf>
    <dxf>
      <fill>
        <patternFill patternType="solid">
          <bgColor rgb="FF92D050"/>
        </patternFill>
      </fill>
    </dxf>
    <dxf>
      <fill>
        <patternFill patternType="solid">
          <bgColor rgb="FFFF0000"/>
        </patternFill>
      </fill>
    </dxf>
    <dxf>
      <fill>
        <patternFill patternType="solid">
          <bgColor rgb="FF92D050"/>
        </patternFill>
      </fill>
    </dxf>
    <dxf>
      <fill>
        <patternFill patternType="solid">
          <bgColor rgb="FF7030A0"/>
        </patternFill>
      </fill>
    </dxf>
    <dxf>
      <fill>
        <patternFill patternType="solid">
          <bgColor rgb="FF92D050"/>
        </patternFill>
      </fill>
    </dxf>
    <dxf>
      <fill>
        <patternFill patternType="solid">
          <bgColor rgb="FFFF0000"/>
        </patternFill>
      </fill>
    </dxf>
    <dxf>
      <fill>
        <patternFill patternType="solid">
          <bgColor rgb="FF92D050"/>
        </patternFill>
      </fill>
    </dxf>
    <dxf>
      <fill>
        <patternFill patternType="solid">
          <bgColor rgb="FFFF0000"/>
        </patternFill>
      </fill>
    </dxf>
    <dxf>
      <fill>
        <patternFill patternType="solid">
          <bgColor rgb="FF92D050"/>
        </patternFill>
      </fill>
    </dxf>
    <dxf>
      <fill>
        <patternFill patternType="solid">
          <bgColor rgb="FF92D050"/>
        </patternFill>
      </fill>
    </dxf>
    <dxf>
      <fill>
        <patternFill patternType="solid">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9966"/>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3:G28"/>
  <sheetViews>
    <sheetView showGridLines="0" tabSelected="1" workbookViewId="0">
      <selection activeCell="G9" sqref="G9"/>
    </sheetView>
  </sheetViews>
  <sheetFormatPr defaultColWidth="9" defaultRowHeight="12.75"/>
  <cols>
    <col min="1" max="1" width="9" style="488"/>
    <col min="2" max="2" width="7.42578125" style="488" customWidth="1"/>
    <col min="3" max="3" width="64.28515625" style="488" customWidth="1"/>
    <col min="4" max="4" width="29.85546875" style="488" customWidth="1"/>
    <col min="5" max="5" width="15.7109375" style="488" customWidth="1"/>
    <col min="6" max="6" width="27.140625" style="488" customWidth="1"/>
    <col min="7" max="7" width="13.140625" style="488" customWidth="1"/>
    <col min="8" max="16384" width="9" style="488"/>
  </cols>
  <sheetData>
    <row r="3" spans="2:6" ht="24" customHeight="1">
      <c r="C3" s="456" t="s">
        <v>0</v>
      </c>
      <c r="D3" s="456" t="s">
        <v>1</v>
      </c>
    </row>
    <row r="4" spans="2:6" ht="21" customHeight="1">
      <c r="C4" s="457" t="s">
        <v>2</v>
      </c>
      <c r="D4" s="458">
        <v>5102.76</v>
      </c>
    </row>
    <row r="5" spans="2:6" ht="21" customHeight="1">
      <c r="C5" s="457" t="s">
        <v>3</v>
      </c>
      <c r="D5" s="458">
        <v>2990</v>
      </c>
    </row>
    <row r="6" spans="2:6" ht="21.75" customHeight="1">
      <c r="C6" s="457" t="s">
        <v>4</v>
      </c>
      <c r="D6" s="458">
        <v>8740.7999999999993</v>
      </c>
    </row>
    <row r="7" spans="2:6" ht="21" customHeight="1">
      <c r="C7" s="457" t="s">
        <v>5</v>
      </c>
      <c r="D7" s="458">
        <v>3600</v>
      </c>
    </row>
    <row r="8" spans="2:6" ht="20.25" customHeight="1">
      <c r="C8" s="457" t="s">
        <v>6</v>
      </c>
      <c r="D8" s="458">
        <v>765.27</v>
      </c>
    </row>
    <row r="9" spans="2:6" ht="21" customHeight="1">
      <c r="C9" s="457" t="s">
        <v>7</v>
      </c>
      <c r="D9" s="458">
        <v>1894.96</v>
      </c>
    </row>
    <row r="10" spans="2:6" ht="21.75" customHeight="1">
      <c r="C10" s="457" t="s">
        <v>8</v>
      </c>
      <c r="D10" s="458">
        <v>1570</v>
      </c>
    </row>
    <row r="11" spans="2:6" ht="23.25" customHeight="1">
      <c r="C11" s="456" t="s">
        <v>9</v>
      </c>
      <c r="D11" s="459">
        <f>SUM(D4:D10)</f>
        <v>24663.789999999997</v>
      </c>
    </row>
    <row r="12" spans="2:6" ht="21" customHeight="1">
      <c r="C12" s="460"/>
      <c r="D12" s="461"/>
    </row>
    <row r="14" spans="2:6" ht="25.5" customHeight="1">
      <c r="B14" s="774" t="s">
        <v>10</v>
      </c>
      <c r="C14" s="774"/>
      <c r="D14" s="774"/>
      <c r="E14" s="774"/>
      <c r="F14" s="774"/>
    </row>
    <row r="15" spans="2:6" ht="39.75" customHeight="1">
      <c r="B15" s="489" t="s">
        <v>11</v>
      </c>
      <c r="C15" s="489" t="s">
        <v>12</v>
      </c>
      <c r="D15" s="489" t="s">
        <v>13</v>
      </c>
      <c r="E15" s="489" t="s">
        <v>14</v>
      </c>
      <c r="F15" s="633" t="s">
        <v>1317</v>
      </c>
    </row>
    <row r="16" spans="2:6" ht="27.75" customHeight="1">
      <c r="B16" s="496">
        <v>1</v>
      </c>
      <c r="C16" s="497" t="s">
        <v>1044</v>
      </c>
      <c r="D16" s="496" t="s">
        <v>1045</v>
      </c>
      <c r="E16" s="498">
        <v>1</v>
      </c>
      <c r="F16" s="499">
        <f>Comparativo!L5</f>
        <v>3508.37</v>
      </c>
    </row>
    <row r="17" spans="2:7" ht="28.5" customHeight="1">
      <c r="B17" s="496">
        <f>B16+1</f>
        <v>2</v>
      </c>
      <c r="C17" s="497" t="s">
        <v>1046</v>
      </c>
      <c r="D17" s="496" t="s">
        <v>1047</v>
      </c>
      <c r="E17" s="498">
        <v>12</v>
      </c>
      <c r="F17" s="499">
        <f>Comparativo!L6</f>
        <v>2691.93</v>
      </c>
    </row>
    <row r="18" spans="2:7" ht="28.5" customHeight="1">
      <c r="B18" s="496">
        <f>B17+1</f>
        <v>3</v>
      </c>
      <c r="C18" s="497" t="s">
        <v>1191</v>
      </c>
      <c r="D18" s="496" t="s">
        <v>1198</v>
      </c>
      <c r="E18" s="498">
        <v>19</v>
      </c>
      <c r="F18" s="499">
        <f>Comparativo!L7</f>
        <v>2319.5500000000002</v>
      </c>
    </row>
    <row r="19" spans="2:7">
      <c r="B19" s="500" t="s">
        <v>1199</v>
      </c>
    </row>
    <row r="20" spans="2:7">
      <c r="B20" s="501"/>
      <c r="C20" s="502" t="s">
        <v>1200</v>
      </c>
    </row>
    <row r="22" spans="2:7" ht="18" customHeight="1">
      <c r="B22" s="775" t="s">
        <v>10</v>
      </c>
      <c r="C22" s="776"/>
      <c r="D22" s="776"/>
      <c r="E22" s="776"/>
      <c r="F22" s="601"/>
      <c r="G22" s="602"/>
    </row>
    <row r="23" spans="2:7" ht="66">
      <c r="B23" s="489" t="s">
        <v>11</v>
      </c>
      <c r="C23" s="489" t="s">
        <v>12</v>
      </c>
      <c r="D23" s="489" t="s">
        <v>13</v>
      </c>
      <c r="E23" s="489" t="s">
        <v>1205</v>
      </c>
      <c r="F23" s="489" t="s">
        <v>1202</v>
      </c>
      <c r="G23" s="489" t="s">
        <v>1203</v>
      </c>
    </row>
    <row r="24" spans="2:7" ht="18">
      <c r="B24" s="503">
        <v>1</v>
      </c>
      <c r="C24" s="504" t="s">
        <v>1044</v>
      </c>
      <c r="D24" s="503" t="s">
        <v>1045</v>
      </c>
      <c r="E24" s="503">
        <v>1</v>
      </c>
      <c r="F24" s="505" t="s">
        <v>1204</v>
      </c>
      <c r="G24" s="506" t="s">
        <v>1204</v>
      </c>
    </row>
    <row r="25" spans="2:7" ht="18">
      <c r="B25" s="503">
        <f>B24+1</f>
        <v>2</v>
      </c>
      <c r="C25" s="504" t="s">
        <v>1046</v>
      </c>
      <c r="D25" s="503" t="s">
        <v>1047</v>
      </c>
      <c r="E25" s="503">
        <v>12</v>
      </c>
      <c r="F25" s="505" t="s">
        <v>1204</v>
      </c>
      <c r="G25" s="506" t="s">
        <v>1204</v>
      </c>
    </row>
    <row r="26" spans="2:7" ht="18">
      <c r="B26" s="503">
        <f>B25+1</f>
        <v>3</v>
      </c>
      <c r="C26" s="504" t="s">
        <v>1191</v>
      </c>
      <c r="D26" s="503" t="s">
        <v>1198</v>
      </c>
      <c r="E26" s="503">
        <v>19</v>
      </c>
      <c r="F26" s="505" t="s">
        <v>1204</v>
      </c>
      <c r="G26" s="506" t="s">
        <v>1204</v>
      </c>
    </row>
    <row r="27" spans="2:7">
      <c r="B27" s="500"/>
    </row>
    <row r="28" spans="2:7">
      <c r="C28" s="507"/>
    </row>
  </sheetData>
  <mergeCells count="2">
    <mergeCell ref="B14:F14"/>
    <mergeCell ref="B22:E22"/>
  </mergeCells>
  <printOptions horizontalCentered="1" verticalCentered="1"/>
  <pageMargins left="0.511811023622047" right="0.511811023622047" top="0.78740157480314998" bottom="0.78740157480314998" header="0.31496062992126" footer="0.31496062992126"/>
  <pageSetup paperSize="9" scale="54" orientation="portrait"/>
  <colBreaks count="1" manualBreakCount="1">
    <brk id="5" max="31"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T13"/>
  <sheetViews>
    <sheetView showGridLines="0" topLeftCell="B1" zoomScaleNormal="100" workbookViewId="0">
      <selection activeCell="B2" sqref="B2:T13"/>
    </sheetView>
  </sheetViews>
  <sheetFormatPr defaultColWidth="11.42578125" defaultRowHeight="12.75"/>
  <cols>
    <col min="1" max="1" width="5.140625" style="202" customWidth="1"/>
    <col min="2" max="2" width="56.28515625" style="202" customWidth="1"/>
    <col min="3" max="3" width="14.140625" style="202" customWidth="1"/>
    <col min="4" max="4" width="13.5703125" style="202" customWidth="1"/>
    <col min="5" max="5" width="13.140625" style="202" customWidth="1"/>
    <col min="6" max="6" width="13.28515625" style="202" customWidth="1"/>
    <col min="7" max="7" width="11.28515625" style="202" customWidth="1"/>
    <col min="8" max="8" width="13" style="202" customWidth="1"/>
    <col min="9" max="9" width="12" style="202" customWidth="1"/>
    <col min="10" max="10" width="12.7109375" style="202" customWidth="1"/>
    <col min="11" max="11" width="13.42578125" style="202" customWidth="1"/>
    <col min="12" max="12" width="13.28515625" style="202" customWidth="1"/>
    <col min="13" max="13" width="11.28515625" style="202" customWidth="1"/>
    <col min="14" max="14" width="14.28515625" style="202" customWidth="1"/>
    <col min="15" max="19" width="11.42578125" style="202"/>
    <col min="20" max="20" width="12.85546875" style="202" bestFit="1" customWidth="1"/>
    <col min="21" max="16384" width="11.42578125" style="202"/>
  </cols>
  <sheetData>
    <row r="2" spans="2:20" ht="23.25" customHeight="1">
      <c r="B2" s="1125" t="s">
        <v>877</v>
      </c>
      <c r="C2" s="1107" t="str">
        <f>Áreas_edf_e_Descrição_postos!C16</f>
        <v>Supervisor</v>
      </c>
      <c r="D2" s="1108"/>
      <c r="E2" s="1108"/>
      <c r="F2" s="1108"/>
      <c r="G2" s="1108"/>
      <c r="H2" s="1109"/>
      <c r="I2" s="1107" t="str">
        <f>Áreas_edf_e_Descrição_postos!C17</f>
        <v>Garçom</v>
      </c>
      <c r="J2" s="1108"/>
      <c r="K2" s="1108"/>
      <c r="L2" s="1108"/>
      <c r="M2" s="1108"/>
      <c r="N2" s="1109"/>
      <c r="O2" s="1107" t="str">
        <f>Áreas_edf_e_Descrição_postos!C18</f>
        <v>Copeiro</v>
      </c>
      <c r="P2" s="1108"/>
      <c r="Q2" s="1108"/>
      <c r="R2" s="1108"/>
      <c r="S2" s="1108"/>
      <c r="T2" s="1109"/>
    </row>
    <row r="3" spans="2:20" ht="21.75" customHeight="1">
      <c r="B3" s="1125"/>
      <c r="C3" s="1110"/>
      <c r="D3" s="1111"/>
      <c r="E3" s="1111"/>
      <c r="F3" s="1111"/>
      <c r="G3" s="1111"/>
      <c r="H3" s="1112"/>
      <c r="I3" s="1110"/>
      <c r="J3" s="1111"/>
      <c r="K3" s="1111"/>
      <c r="L3" s="1111"/>
      <c r="M3" s="1111"/>
      <c r="N3" s="1112"/>
      <c r="O3" s="1110"/>
      <c r="P3" s="1111"/>
      <c r="Q3" s="1111"/>
      <c r="R3" s="1111"/>
      <c r="S3" s="1111"/>
      <c r="T3" s="1112"/>
    </row>
    <row r="4" spans="2:20" ht="22.5" customHeight="1">
      <c r="B4" s="203" t="s">
        <v>878</v>
      </c>
      <c r="C4" s="1113">
        <f>'1_Supervisor'!E6</f>
        <v>3508.37</v>
      </c>
      <c r="D4" s="1114"/>
      <c r="E4" s="1114"/>
      <c r="F4" s="1114"/>
      <c r="G4" s="1114"/>
      <c r="H4" s="1115"/>
      <c r="I4" s="1113">
        <f>'2_Garçon'!E6</f>
        <v>2691.93</v>
      </c>
      <c r="J4" s="1114"/>
      <c r="K4" s="1114"/>
      <c r="L4" s="1114"/>
      <c r="M4" s="1114"/>
      <c r="N4" s="1115"/>
      <c r="O4" s="1113">
        <f>'3_Copeiro'!E6</f>
        <v>2319.5500000000002</v>
      </c>
      <c r="P4" s="1114"/>
      <c r="Q4" s="1114"/>
      <c r="R4" s="1114"/>
      <c r="S4" s="1114"/>
      <c r="T4" s="1115"/>
    </row>
    <row r="5" spans="2:20" ht="45">
      <c r="B5" s="1126" t="s">
        <v>879</v>
      </c>
      <c r="C5" s="204" t="s">
        <v>880</v>
      </c>
      <c r="D5" s="204" t="s">
        <v>881</v>
      </c>
      <c r="E5" s="204" t="s">
        <v>882</v>
      </c>
      <c r="F5" s="204" t="s">
        <v>883</v>
      </c>
      <c r="G5" s="204" t="s">
        <v>884</v>
      </c>
      <c r="H5" s="205" t="s">
        <v>687</v>
      </c>
      <c r="I5" s="204" t="s">
        <v>880</v>
      </c>
      <c r="J5" s="204" t="s">
        <v>881</v>
      </c>
      <c r="K5" s="204" t="s">
        <v>882</v>
      </c>
      <c r="L5" s="204" t="s">
        <v>883</v>
      </c>
      <c r="M5" s="204" t="s">
        <v>884</v>
      </c>
      <c r="N5" s="205" t="s">
        <v>687</v>
      </c>
      <c r="O5" s="204" t="s">
        <v>880</v>
      </c>
      <c r="P5" s="204" t="s">
        <v>881</v>
      </c>
      <c r="Q5" s="204" t="s">
        <v>882</v>
      </c>
      <c r="R5" s="204" t="s">
        <v>883</v>
      </c>
      <c r="S5" s="204" t="s">
        <v>884</v>
      </c>
      <c r="T5" s="205" t="s">
        <v>687</v>
      </c>
    </row>
    <row r="6" spans="2:20" ht="24" customHeight="1">
      <c r="B6" s="1127"/>
      <c r="C6" s="206">
        <v>8.3299999999999999E-2</v>
      </c>
      <c r="D6" s="206">
        <v>0.1111</v>
      </c>
      <c r="E6" s="206">
        <v>0.04</v>
      </c>
      <c r="F6" s="206">
        <v>3.1699999999999999E-2</v>
      </c>
      <c r="G6" s="206">
        <v>4.2200000000000001E-2</v>
      </c>
      <c r="H6" s="206">
        <v>0.30830000000000002</v>
      </c>
      <c r="I6" s="206">
        <v>8.3299999999999999E-2</v>
      </c>
      <c r="J6" s="206">
        <v>0.1111</v>
      </c>
      <c r="K6" s="206">
        <v>0.04</v>
      </c>
      <c r="L6" s="206">
        <v>3.1699999999999999E-2</v>
      </c>
      <c r="M6" s="206">
        <v>4.2200000000000001E-2</v>
      </c>
      <c r="N6" s="206">
        <v>0.30830000000000002</v>
      </c>
      <c r="O6" s="206">
        <v>8.3299999999999999E-2</v>
      </c>
      <c r="P6" s="206">
        <v>0.1111</v>
      </c>
      <c r="Q6" s="206">
        <v>0.04</v>
      </c>
      <c r="R6" s="206">
        <v>3.1699999999999999E-2</v>
      </c>
      <c r="S6" s="206">
        <v>4.2200000000000001E-2</v>
      </c>
      <c r="T6" s="206">
        <v>0.30830000000000002</v>
      </c>
    </row>
    <row r="7" spans="2:20" ht="24" customHeight="1">
      <c r="B7" s="207" t="s">
        <v>885</v>
      </c>
      <c r="C7" s="208">
        <f>ROUND(C6*$C4,2)</f>
        <v>292.25</v>
      </c>
      <c r="D7" s="208">
        <f t="shared" ref="D7:G7" si="0">ROUND(D6*$C4,2)</f>
        <v>389.78</v>
      </c>
      <c r="E7" s="208">
        <f t="shared" si="0"/>
        <v>140.33000000000001</v>
      </c>
      <c r="F7" s="208">
        <f t="shared" si="0"/>
        <v>111.22</v>
      </c>
      <c r="G7" s="208">
        <f t="shared" si="0"/>
        <v>148.05000000000001</v>
      </c>
      <c r="H7" s="208">
        <f>ROUND(H6*$C4,2)</f>
        <v>1081.6300000000001</v>
      </c>
      <c r="I7" s="208">
        <f t="shared" ref="I7:N7" si="1">ROUND(I6*$I4,2)</f>
        <v>224.24</v>
      </c>
      <c r="J7" s="208">
        <f t="shared" si="1"/>
        <v>299.07</v>
      </c>
      <c r="K7" s="208">
        <f t="shared" si="1"/>
        <v>107.68</v>
      </c>
      <c r="L7" s="208">
        <f t="shared" si="1"/>
        <v>85.33</v>
      </c>
      <c r="M7" s="208">
        <f t="shared" si="1"/>
        <v>113.6</v>
      </c>
      <c r="N7" s="208">
        <f t="shared" si="1"/>
        <v>829.92</v>
      </c>
      <c r="O7" s="208">
        <f>ROUND(O6*$O4,2)</f>
        <v>193.22</v>
      </c>
      <c r="P7" s="208">
        <f t="shared" ref="P7:T7" si="2">ROUND(P6*$O4,2)</f>
        <v>257.7</v>
      </c>
      <c r="Q7" s="208">
        <f t="shared" si="2"/>
        <v>92.78</v>
      </c>
      <c r="R7" s="208">
        <f t="shared" si="2"/>
        <v>73.53</v>
      </c>
      <c r="S7" s="208">
        <f t="shared" si="2"/>
        <v>97.89</v>
      </c>
      <c r="T7" s="208">
        <f t="shared" si="2"/>
        <v>715.12</v>
      </c>
    </row>
    <row r="8" spans="2:20" ht="24" customHeight="1">
      <c r="B8" s="207" t="s">
        <v>886</v>
      </c>
      <c r="C8" s="1116">
        <f>Áreas_edf_e_Descrição_postos!E16</f>
        <v>1</v>
      </c>
      <c r="D8" s="1117"/>
      <c r="E8" s="1117"/>
      <c r="F8" s="1117"/>
      <c r="G8" s="1117"/>
      <c r="H8" s="1118"/>
      <c r="I8" s="1116">
        <f>Áreas_edf_e_Descrição_postos!E17</f>
        <v>12</v>
      </c>
      <c r="J8" s="1117"/>
      <c r="K8" s="1117"/>
      <c r="L8" s="1117"/>
      <c r="M8" s="1117"/>
      <c r="N8" s="1118"/>
      <c r="O8" s="1116">
        <f>Áreas_edf_e_Descrição_postos!E18</f>
        <v>19</v>
      </c>
      <c r="P8" s="1117"/>
      <c r="Q8" s="1117"/>
      <c r="R8" s="1117"/>
      <c r="S8" s="1117"/>
      <c r="T8" s="1118"/>
    </row>
    <row r="9" spans="2:20" ht="36.75" customHeight="1">
      <c r="B9" s="209" t="s">
        <v>887</v>
      </c>
      <c r="C9" s="1119">
        <f>H7*C8</f>
        <v>1081.6300000000001</v>
      </c>
      <c r="D9" s="1120"/>
      <c r="E9" s="1120"/>
      <c r="F9" s="1120"/>
      <c r="G9" s="1120"/>
      <c r="H9" s="1121"/>
      <c r="I9" s="1119">
        <f>N7*I8</f>
        <v>9959.0399999999991</v>
      </c>
      <c r="J9" s="1120"/>
      <c r="K9" s="1120"/>
      <c r="L9" s="1120"/>
      <c r="M9" s="1120"/>
      <c r="N9" s="1121"/>
      <c r="O9" s="1119">
        <f>T7*O8</f>
        <v>13587.28</v>
      </c>
      <c r="P9" s="1120"/>
      <c r="Q9" s="1120"/>
      <c r="R9" s="1120"/>
      <c r="S9" s="1120"/>
      <c r="T9" s="1121"/>
    </row>
    <row r="11" spans="2:20">
      <c r="J11" s="210"/>
    </row>
    <row r="13" spans="2:20" ht="20.25">
      <c r="B13" s="1122" t="s">
        <v>1255</v>
      </c>
      <c r="C13" s="1122"/>
      <c r="D13" s="1122"/>
      <c r="E13" s="1122"/>
      <c r="F13" s="1122"/>
      <c r="G13" s="1122"/>
      <c r="H13" s="1122"/>
      <c r="I13" s="1123">
        <f>C9+I9+O9</f>
        <v>24627.949999999997</v>
      </c>
      <c r="J13" s="1124"/>
      <c r="K13" s="1124"/>
      <c r="L13" s="1124"/>
      <c r="M13" s="1124"/>
      <c r="N13" s="1124"/>
    </row>
  </sheetData>
  <mergeCells count="16">
    <mergeCell ref="O2:T3"/>
    <mergeCell ref="O4:T4"/>
    <mergeCell ref="O8:T8"/>
    <mergeCell ref="O9:T9"/>
    <mergeCell ref="B13:H13"/>
    <mergeCell ref="I13:N13"/>
    <mergeCell ref="C9:H9"/>
    <mergeCell ref="I9:N9"/>
    <mergeCell ref="B2:B3"/>
    <mergeCell ref="B5:B6"/>
    <mergeCell ref="C2:H3"/>
    <mergeCell ref="I2:N3"/>
    <mergeCell ref="I8:N8"/>
    <mergeCell ref="C8:H8"/>
    <mergeCell ref="C4:H4"/>
    <mergeCell ref="I4:N4"/>
  </mergeCells>
  <printOptions horizontalCentered="1" verticalCentered="1"/>
  <pageMargins left="0.511811023622047" right="0.511811023622047" top="0.78740157480314998" bottom="0.78740157480314998" header="0.31496062992126" footer="0.31496062992126"/>
  <pageSetup paperSize="9" scale="42"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IK40"/>
  <sheetViews>
    <sheetView showGridLines="0" topLeftCell="A10" zoomScale="116" zoomScaleNormal="116" zoomScaleSheetLayoutView="90" workbookViewId="0">
      <selection activeCell="B29" sqref="B29"/>
    </sheetView>
  </sheetViews>
  <sheetFormatPr defaultColWidth="9.7109375" defaultRowHeight="15.75"/>
  <cols>
    <col min="1" max="1" width="9.7109375" style="121"/>
    <col min="2" max="2" width="16.7109375" style="120" customWidth="1"/>
    <col min="3" max="3" width="61.85546875" style="120" customWidth="1"/>
    <col min="4" max="4" width="8.140625" style="120" customWidth="1"/>
    <col min="5" max="5" width="15.140625" style="120" customWidth="1"/>
    <col min="6" max="6" width="19.85546875" style="120" customWidth="1"/>
    <col min="7" max="7" width="17.85546875" style="120" bestFit="1" customWidth="1"/>
    <col min="8" max="8" width="30.85546875" style="122" customWidth="1"/>
    <col min="9" max="9" width="7.85546875" style="122" customWidth="1"/>
    <col min="10" max="10" width="24.140625" style="123" customWidth="1"/>
    <col min="11" max="11" width="16.85546875" style="122" customWidth="1"/>
    <col min="12" max="12" width="20.28515625" style="122" customWidth="1"/>
    <col min="13" max="13" width="19.85546875" style="120" customWidth="1"/>
    <col min="14" max="14" width="30.42578125" style="120" customWidth="1"/>
    <col min="15" max="15" width="32.85546875" style="120" customWidth="1"/>
    <col min="16" max="238" width="9.7109375" style="120"/>
    <col min="239" max="16384" width="9.7109375" style="121"/>
  </cols>
  <sheetData>
    <row r="2" spans="2:238" ht="24.75" customHeight="1">
      <c r="B2" s="1140" t="s">
        <v>1259</v>
      </c>
      <c r="C2" s="1141"/>
      <c r="D2" s="1141"/>
      <c r="E2" s="1141"/>
      <c r="F2" s="1141"/>
      <c r="G2" s="1141"/>
      <c r="H2" s="1142"/>
      <c r="I2" s="166"/>
      <c r="J2" s="167"/>
      <c r="K2" s="1143" t="s">
        <v>895</v>
      </c>
      <c r="L2" s="1143"/>
      <c r="M2" s="1143"/>
      <c r="N2" s="1128" t="s">
        <v>896</v>
      </c>
      <c r="ID2" s="121"/>
    </row>
    <row r="3" spans="2:238" ht="21" customHeight="1">
      <c r="B3" s="124" t="s">
        <v>810</v>
      </c>
      <c r="C3" s="124" t="s">
        <v>888</v>
      </c>
      <c r="D3" s="124" t="s">
        <v>897</v>
      </c>
      <c r="E3" s="124" t="s">
        <v>898</v>
      </c>
      <c r="F3" s="125" t="s">
        <v>899</v>
      </c>
      <c r="G3" s="125" t="s">
        <v>900</v>
      </c>
      <c r="H3" s="126" t="s">
        <v>901</v>
      </c>
      <c r="I3" s="169"/>
      <c r="J3" s="170"/>
      <c r="K3" s="1148" t="s">
        <v>902</v>
      </c>
      <c r="L3" s="171" t="s">
        <v>903</v>
      </c>
      <c r="M3" s="172" t="s">
        <v>904</v>
      </c>
      <c r="N3" s="1129"/>
      <c r="ID3" s="121"/>
    </row>
    <row r="4" spans="2:238" ht="20.25">
      <c r="B4" s="127">
        <v>1</v>
      </c>
      <c r="C4" s="1144" t="s">
        <v>1350</v>
      </c>
      <c r="D4" s="1144"/>
      <c r="E4" s="1144"/>
      <c r="F4" s="1144"/>
      <c r="G4" s="1145"/>
      <c r="H4" s="129">
        <f>ROUND(SUM(G5:G7),2)</f>
        <v>192343.55</v>
      </c>
      <c r="I4" s="174" t="s">
        <v>739</v>
      </c>
      <c r="J4" s="175"/>
      <c r="K4" s="1149"/>
      <c r="L4" s="176">
        <f>SUM(L5:L7)</f>
        <v>241870.58999999997</v>
      </c>
      <c r="M4" s="177">
        <f>L4*12</f>
        <v>2902447.0799999996</v>
      </c>
      <c r="N4" s="178">
        <f>M4/M10</f>
        <v>0.82854412679534006</v>
      </c>
      <c r="ID4" s="121"/>
    </row>
    <row r="5" spans="2:238" ht="26.25" customHeight="1">
      <c r="B5" s="130" t="s">
        <v>893</v>
      </c>
      <c r="C5" s="130" t="str">
        <f>Áreas_edf_e_Descrição_postos!C16</f>
        <v>Supervisor</v>
      </c>
      <c r="D5" s="130" t="s">
        <v>906</v>
      </c>
      <c r="E5" s="130">
        <f>Áreas_edf_e_Descrição_postos!E16</f>
        <v>1</v>
      </c>
      <c r="F5" s="131">
        <f>'1_Supervisor'!E73</f>
        <v>7674.2013980273287</v>
      </c>
      <c r="G5" s="131">
        <f>ROUND(F5*E5,2)</f>
        <v>7674.2</v>
      </c>
      <c r="H5" s="132"/>
      <c r="I5" s="179"/>
      <c r="J5" s="175"/>
      <c r="K5" s="180">
        <f>ROUND((F5+F5*E11+F5*E12+F5*E11*E12)/(1-E14),2)</f>
        <v>9650.25</v>
      </c>
      <c r="L5" s="181">
        <f>E5*K5</f>
        <v>9650.25</v>
      </c>
      <c r="M5" s="182"/>
      <c r="N5" s="168"/>
      <c r="ID5" s="121"/>
    </row>
    <row r="6" spans="2:238" ht="22.5" customHeight="1">
      <c r="B6" s="130" t="s">
        <v>894</v>
      </c>
      <c r="C6" s="130" t="str">
        <f>Áreas_edf_e_Descrição_postos!C17</f>
        <v>Garçom</v>
      </c>
      <c r="D6" s="130" t="s">
        <v>906</v>
      </c>
      <c r="E6" s="130">
        <f>Áreas_edf_e_Descrição_postos!E17</f>
        <v>12</v>
      </c>
      <c r="F6" s="131">
        <f>'2_Garçon'!E73</f>
        <v>6327.3060345834183</v>
      </c>
      <c r="G6" s="131">
        <f>ROUND(F6*E6,2)</f>
        <v>75927.67</v>
      </c>
      <c r="H6" s="132"/>
      <c r="I6" s="179"/>
      <c r="J6" s="175"/>
      <c r="K6" s="180">
        <f>ROUND((F6+F6*E11+F6*E12+F6*E11*E12)/(1-E14),2)</f>
        <v>7956.54</v>
      </c>
      <c r="L6" s="181">
        <f t="shared" ref="L6" si="0">E6*K6</f>
        <v>95478.48</v>
      </c>
      <c r="M6" s="182"/>
      <c r="N6" s="183"/>
      <c r="ID6" s="121"/>
    </row>
    <row r="7" spans="2:238" ht="24.75" customHeight="1" thickBot="1">
      <c r="B7" s="130" t="s">
        <v>1206</v>
      </c>
      <c r="C7" s="130" t="s">
        <v>1191</v>
      </c>
      <c r="D7" s="130" t="s">
        <v>906</v>
      </c>
      <c r="E7" s="130">
        <f>Áreas_edf_e_Descrição_postos!E18</f>
        <v>19</v>
      </c>
      <c r="F7" s="131">
        <f>'3_Copeiro'!E73</f>
        <v>5723.246388351241</v>
      </c>
      <c r="G7" s="131">
        <f>ROUND(F7*E7,2)</f>
        <v>108741.68</v>
      </c>
      <c r="H7" s="132"/>
      <c r="I7" s="179"/>
      <c r="J7" s="175"/>
      <c r="K7" s="180">
        <f>ROUND((F7+F7*E11+F7*E12+F7*E11*E12)/(1-E14),2)</f>
        <v>7196.94</v>
      </c>
      <c r="L7" s="181">
        <f t="shared" ref="L7" si="1">E7*K7</f>
        <v>136741.85999999999</v>
      </c>
      <c r="M7" s="182"/>
      <c r="N7" s="183"/>
      <c r="ID7" s="121"/>
    </row>
    <row r="8" spans="2:238" ht="21" thickBot="1">
      <c r="B8" s="133">
        <v>2</v>
      </c>
      <c r="C8" s="1144" t="s">
        <v>1172</v>
      </c>
      <c r="D8" s="1146"/>
      <c r="E8" s="1146"/>
      <c r="F8" s="1146"/>
      <c r="G8" s="1147"/>
      <c r="H8" s="129">
        <f>ROUND(G9,2)</f>
        <v>39802.85</v>
      </c>
      <c r="I8" s="189" t="s">
        <v>741</v>
      </c>
      <c r="J8" s="175"/>
      <c r="K8" s="182"/>
      <c r="L8" s="176">
        <f>ROUND((H8+H8*E11+H8*E12+H8*E11*E12)/(1-E14),2)+0.02</f>
        <v>50051.81</v>
      </c>
      <c r="M8" s="177">
        <f>L8*12</f>
        <v>600621.72</v>
      </c>
      <c r="N8" s="178">
        <f>M8/M10</f>
        <v>0.17145587320465988</v>
      </c>
      <c r="ID8" s="121"/>
    </row>
    <row r="9" spans="2:238" ht="63" customHeight="1">
      <c r="B9" s="130" t="s">
        <v>907</v>
      </c>
      <c r="C9" s="758" t="s">
        <v>1173</v>
      </c>
      <c r="D9" s="130" t="s">
        <v>906</v>
      </c>
      <c r="E9" s="130">
        <v>1</v>
      </c>
      <c r="F9" s="135">
        <f>'Materiais de consumo'!Q50</f>
        <v>39802.845571428559</v>
      </c>
      <c r="G9" s="481">
        <f>ROUND(F9,2)</f>
        <v>39802.85</v>
      </c>
      <c r="H9" s="132"/>
      <c r="I9" s="179"/>
      <c r="J9" s="175"/>
      <c r="K9" s="182"/>
      <c r="M9" s="182"/>
      <c r="N9" s="178"/>
      <c r="ID9" s="121"/>
    </row>
    <row r="10" spans="2:238" ht="21.75" customHeight="1" thickBot="1">
      <c r="B10" s="133">
        <v>6</v>
      </c>
      <c r="C10" s="128" t="s">
        <v>908</v>
      </c>
      <c r="D10" s="137"/>
      <c r="E10" s="137"/>
      <c r="F10" s="138"/>
      <c r="G10" s="138"/>
      <c r="H10" s="139"/>
      <c r="I10" s="190"/>
      <c r="J10" s="191"/>
      <c r="K10" s="192"/>
      <c r="L10" s="193">
        <f>SUM(L5:L7,L8)</f>
        <v>291922.39999999997</v>
      </c>
      <c r="M10" s="193">
        <f>M4+M8</f>
        <v>3503068.8</v>
      </c>
      <c r="N10" s="173">
        <f>SUM(N4:N9)</f>
        <v>1</v>
      </c>
      <c r="ID10" s="121"/>
    </row>
    <row r="11" spans="2:238" ht="20.25">
      <c r="B11" s="140" t="s">
        <v>909</v>
      </c>
      <c r="C11" s="130" t="s">
        <v>910</v>
      </c>
      <c r="D11" s="130"/>
      <c r="E11" s="141">
        <v>2.5000000000000001E-2</v>
      </c>
      <c r="F11" s="142"/>
      <c r="G11" s="143"/>
      <c r="H11" s="129">
        <f>ROUND(E11*(H4+H8),2)</f>
        <v>5803.66</v>
      </c>
      <c r="I11" s="174" t="s">
        <v>743</v>
      </c>
      <c r="J11" s="194"/>
      <c r="K11" s="195"/>
      <c r="ID11" s="121"/>
    </row>
    <row r="12" spans="2:238" ht="21" thickBot="1">
      <c r="B12" s="144" t="s">
        <v>911</v>
      </c>
      <c r="C12" s="134" t="s">
        <v>912</v>
      </c>
      <c r="D12" s="134"/>
      <c r="E12" s="145">
        <v>5.1999999999999998E-2</v>
      </c>
      <c r="F12" s="146"/>
      <c r="G12" s="147"/>
      <c r="H12" s="129">
        <f>ROUND(E12*(H4+H8+H11),2)</f>
        <v>12373.4</v>
      </c>
      <c r="I12" s="174" t="s">
        <v>745</v>
      </c>
      <c r="J12" s="194"/>
      <c r="ID12" s="121"/>
    </row>
    <row r="13" spans="2:238" ht="21" thickBot="1">
      <c r="B13" s="1134" t="s">
        <v>913</v>
      </c>
      <c r="C13" s="1134"/>
      <c r="D13" s="1134"/>
      <c r="E13" s="1135"/>
      <c r="F13" s="1135"/>
      <c r="G13" s="1134"/>
      <c r="H13" s="131">
        <f>H11+H12</f>
        <v>18177.059999999998</v>
      </c>
      <c r="I13" s="196"/>
      <c r="J13" s="194"/>
      <c r="ID13" s="121"/>
    </row>
    <row r="14" spans="2:238" ht="18.75" thickBot="1">
      <c r="B14" s="148" t="s">
        <v>914</v>
      </c>
      <c r="C14" s="149" t="s">
        <v>915</v>
      </c>
      <c r="D14" s="150"/>
      <c r="E14" s="151">
        <f>SUM(D15:D17)</f>
        <v>0.14250000000000002</v>
      </c>
      <c r="F14" s="152" t="s">
        <v>916</v>
      </c>
      <c r="G14" s="153" t="s">
        <v>917</v>
      </c>
      <c r="H14" s="131">
        <f>E14*H23</f>
        <v>41598.94200000001</v>
      </c>
      <c r="I14" s="197"/>
      <c r="J14" s="198"/>
      <c r="L14" s="482"/>
      <c r="ID14" s="121"/>
    </row>
    <row r="15" spans="2:238" ht="18">
      <c r="B15" s="140" t="s">
        <v>918</v>
      </c>
      <c r="C15" s="154" t="s">
        <v>919</v>
      </c>
      <c r="D15" s="155">
        <v>0.05</v>
      </c>
      <c r="E15" s="156"/>
      <c r="F15" s="157"/>
      <c r="G15" s="157"/>
      <c r="H15" s="158"/>
      <c r="I15" s="199"/>
      <c r="J15" s="194">
        <f>32/2</f>
        <v>16</v>
      </c>
      <c r="ID15" s="121"/>
    </row>
    <row r="16" spans="2:238" ht="18">
      <c r="B16" s="140" t="s">
        <v>920</v>
      </c>
      <c r="C16" s="154" t="s">
        <v>921</v>
      </c>
      <c r="D16" s="155">
        <v>1.6500000000000001E-2</v>
      </c>
      <c r="E16" s="159"/>
      <c r="F16" s="160"/>
      <c r="G16" s="160"/>
      <c r="H16" s="158"/>
      <c r="I16" s="199"/>
      <c r="J16" s="194"/>
      <c r="ID16" s="121"/>
    </row>
    <row r="17" spans="2:245" ht="18">
      <c r="B17" s="161" t="s">
        <v>922</v>
      </c>
      <c r="C17" s="154" t="s">
        <v>923</v>
      </c>
      <c r="D17" s="155">
        <v>7.5999999999999998E-2</v>
      </c>
      <c r="E17" s="159"/>
      <c r="F17" s="160"/>
      <c r="G17" s="160"/>
      <c r="H17" s="162"/>
      <c r="I17" s="199"/>
      <c r="J17" s="194"/>
      <c r="ID17" s="121"/>
    </row>
    <row r="18" spans="2:245" ht="25.5" customHeight="1">
      <c r="B18" s="1136" t="s">
        <v>924</v>
      </c>
      <c r="C18" s="1137"/>
      <c r="D18" s="1137"/>
      <c r="E18" s="1137"/>
      <c r="F18" s="1137"/>
      <c r="G18" s="1137"/>
      <c r="H18" s="1138"/>
      <c r="I18" s="199"/>
      <c r="J18" s="194"/>
      <c r="ID18" s="121"/>
    </row>
    <row r="19" spans="2:245" ht="18">
      <c r="B19" s="1139" t="s">
        <v>1353</v>
      </c>
      <c r="C19" s="1139"/>
      <c r="D19" s="1139"/>
      <c r="E19" s="1139"/>
      <c r="F19" s="1139"/>
      <c r="G19" s="1139"/>
      <c r="H19" s="1139"/>
      <c r="I19" s="199"/>
      <c r="J19" s="194"/>
      <c r="ID19" s="121"/>
    </row>
    <row r="20" spans="2:245" ht="18">
      <c r="B20" s="1134" t="s">
        <v>925</v>
      </c>
      <c r="C20" s="1134"/>
      <c r="D20" s="1134"/>
      <c r="E20" s="1134"/>
      <c r="F20" s="1134"/>
      <c r="G20" s="1134"/>
      <c r="H20" s="1134"/>
      <c r="I20" s="199"/>
      <c r="J20" s="194"/>
      <c r="ID20" s="121"/>
    </row>
    <row r="21" spans="2:245" ht="18">
      <c r="B21" s="1134" t="s">
        <v>926</v>
      </c>
      <c r="C21" s="1134"/>
      <c r="D21" s="1134"/>
      <c r="E21" s="1134"/>
      <c r="F21" s="1134"/>
      <c r="G21" s="1134"/>
      <c r="H21" s="1134"/>
      <c r="I21" s="199"/>
      <c r="J21" s="194"/>
      <c r="ID21" s="121"/>
    </row>
    <row r="22" spans="2:245" ht="18">
      <c r="B22" s="1154" t="s">
        <v>927</v>
      </c>
      <c r="C22" s="1154"/>
      <c r="D22" s="1154"/>
      <c r="E22" s="1154"/>
      <c r="F22" s="1154"/>
      <c r="G22" s="1154"/>
      <c r="H22" s="1154"/>
      <c r="I22" s="199"/>
      <c r="J22" s="194"/>
      <c r="ID22" s="121"/>
    </row>
    <row r="23" spans="2:245" ht="21" customHeight="1">
      <c r="B23" s="1155" t="s">
        <v>928</v>
      </c>
      <c r="C23" s="1155"/>
      <c r="D23" s="1155"/>
      <c r="E23" s="1155"/>
      <c r="F23" s="1155"/>
      <c r="G23" s="127" t="s">
        <v>929</v>
      </c>
      <c r="H23" s="163">
        <f>ROUND((H4+H8+H11+H12)/(1-E14),2)</f>
        <v>291922.40000000002</v>
      </c>
      <c r="I23" s="196"/>
      <c r="J23" s="175"/>
      <c r="ID23" s="121"/>
    </row>
    <row r="24" spans="2:245" ht="22.5" customHeight="1">
      <c r="B24" s="1156" t="s">
        <v>930</v>
      </c>
      <c r="C24" s="1156"/>
      <c r="D24" s="1156"/>
      <c r="E24" s="1156"/>
      <c r="F24" s="1156"/>
      <c r="G24" s="1156"/>
      <c r="H24" s="235">
        <f>H23*12</f>
        <v>3503068.8000000003</v>
      </c>
    </row>
    <row r="26" spans="2:245" ht="18">
      <c r="G26" s="164" t="s">
        <v>931</v>
      </c>
      <c r="H26" s="165">
        <f>(H14+H13)/(H4+H8)</f>
        <v>0.25749269426534294</v>
      </c>
      <c r="J26" s="200">
        <f>H26*(H4+H8)</f>
        <v>59776.002000000008</v>
      </c>
      <c r="K26" s="201">
        <f>H14+H13</f>
        <v>59776.002000000008</v>
      </c>
    </row>
    <row r="29" spans="2:245" s="120" customFormat="1">
      <c r="H29" s="122"/>
      <c r="I29" s="122"/>
      <c r="J29" s="123"/>
      <c r="K29" s="122"/>
      <c r="L29" s="122"/>
      <c r="IE29" s="121"/>
      <c r="IF29" s="121"/>
      <c r="IG29" s="121"/>
      <c r="IH29" s="121"/>
      <c r="II29" s="121"/>
      <c r="IJ29" s="121"/>
      <c r="IK29" s="121"/>
    </row>
    <row r="31" spans="2:245" ht="24.75" customHeight="1">
      <c r="B31" s="766" t="s">
        <v>23</v>
      </c>
      <c r="C31" s="290"/>
      <c r="D31" s="291"/>
      <c r="E31" s="291"/>
      <c r="F31" s="291"/>
      <c r="G31" s="291"/>
    </row>
    <row r="32" spans="2:245" ht="27.75" customHeight="1">
      <c r="B32" s="321">
        <v>1</v>
      </c>
      <c r="C32" s="1150" t="s">
        <v>932</v>
      </c>
      <c r="D32" s="1150"/>
      <c r="E32" s="1150"/>
      <c r="F32" s="1150"/>
      <c r="G32" s="1150"/>
      <c r="H32" s="322"/>
    </row>
    <row r="33" spans="2:7" ht="62.1" customHeight="1">
      <c r="B33" s="321">
        <f>B32+1</f>
        <v>2</v>
      </c>
      <c r="C33" s="1150" t="s">
        <v>933</v>
      </c>
      <c r="D33" s="1151"/>
      <c r="E33" s="1151"/>
      <c r="F33" s="1151"/>
      <c r="G33" s="1151"/>
    </row>
    <row r="34" spans="2:7" ht="131.25" customHeight="1">
      <c r="B34" s="321">
        <f t="shared" ref="B34:B40" si="2">B33+1</f>
        <v>3</v>
      </c>
      <c r="C34" s="1150" t="s">
        <v>1349</v>
      </c>
      <c r="D34" s="1151"/>
      <c r="E34" s="1151"/>
      <c r="F34" s="1151"/>
      <c r="G34" s="1151"/>
    </row>
    <row r="35" spans="2:7" ht="136.5" customHeight="1">
      <c r="B35" s="321">
        <f t="shared" si="2"/>
        <v>4</v>
      </c>
      <c r="C35" s="1130" t="s">
        <v>934</v>
      </c>
      <c r="D35" s="1152"/>
      <c r="E35" s="1152"/>
      <c r="F35" s="1152"/>
      <c r="G35" s="1153"/>
    </row>
    <row r="36" spans="2:7" ht="113.25" customHeight="1">
      <c r="B36" s="321">
        <f>B35+1</f>
        <v>5</v>
      </c>
      <c r="C36" s="1130" t="s">
        <v>935</v>
      </c>
      <c r="D36" s="1152"/>
      <c r="E36" s="1152"/>
      <c r="F36" s="1152"/>
      <c r="G36" s="1153"/>
    </row>
    <row r="37" spans="2:7" ht="59.25" customHeight="1">
      <c r="B37" s="321">
        <f>B36+1</f>
        <v>6</v>
      </c>
      <c r="C37" s="1130" t="s">
        <v>1351</v>
      </c>
      <c r="D37" s="1131"/>
      <c r="E37" s="1131"/>
      <c r="F37" s="1131"/>
      <c r="G37" s="1132"/>
    </row>
    <row r="38" spans="2:7" ht="99.75" customHeight="1">
      <c r="B38" s="321">
        <f t="shared" si="2"/>
        <v>7</v>
      </c>
      <c r="C38" s="1133" t="s">
        <v>1257</v>
      </c>
      <c r="D38" s="1131"/>
      <c r="E38" s="1131"/>
      <c r="F38" s="1131"/>
      <c r="G38" s="1132"/>
    </row>
    <row r="39" spans="2:7" ht="136.5" customHeight="1">
      <c r="B39" s="321">
        <f t="shared" si="2"/>
        <v>8</v>
      </c>
      <c r="C39" s="1133" t="s">
        <v>1256</v>
      </c>
      <c r="D39" s="1152"/>
      <c r="E39" s="1152"/>
      <c r="F39" s="1152"/>
      <c r="G39" s="1153"/>
    </row>
    <row r="40" spans="2:7" ht="39" customHeight="1">
      <c r="B40" s="321">
        <f t="shared" si="2"/>
        <v>9</v>
      </c>
      <c r="C40" s="1150" t="s">
        <v>936</v>
      </c>
      <c r="D40" s="1151"/>
      <c r="E40" s="1151"/>
      <c r="F40" s="1151"/>
      <c r="G40" s="1151"/>
    </row>
  </sheetData>
  <mergeCells count="23">
    <mergeCell ref="C39:G39"/>
    <mergeCell ref="C40:G40"/>
    <mergeCell ref="B21:H21"/>
    <mergeCell ref="B22:H22"/>
    <mergeCell ref="B23:F23"/>
    <mergeCell ref="B24:G24"/>
    <mergeCell ref="C32:G32"/>
    <mergeCell ref="C35:G35"/>
    <mergeCell ref="C36:G36"/>
    <mergeCell ref="N2:N3"/>
    <mergeCell ref="C37:G37"/>
    <mergeCell ref="C38:G38"/>
    <mergeCell ref="B13:G13"/>
    <mergeCell ref="B18:H18"/>
    <mergeCell ref="B19:H19"/>
    <mergeCell ref="B20:H20"/>
    <mergeCell ref="B2:H2"/>
    <mergeCell ref="K2:M2"/>
    <mergeCell ref="C4:G4"/>
    <mergeCell ref="C8:G8"/>
    <mergeCell ref="K3:K4"/>
    <mergeCell ref="C33:G33"/>
    <mergeCell ref="C34:G34"/>
  </mergeCells>
  <printOptions horizontalCentered="1" verticalCentered="1"/>
  <pageMargins left="0.59055118110236204" right="0.39370078740157499" top="0.39370078740157499" bottom="0.59055118110236204" header="0.511811023622047" footer="0.511811023622047"/>
  <pageSetup paperSize="9" scale="32" firstPageNumber="0" orientation="landscape" useFirstPageNumber="1"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B1:IJ37"/>
  <sheetViews>
    <sheetView showGridLines="0" zoomScale="80" zoomScaleNormal="80" zoomScaleSheetLayoutView="110" workbookViewId="0">
      <selection activeCell="E2" sqref="E2"/>
    </sheetView>
  </sheetViews>
  <sheetFormatPr defaultColWidth="9.7109375" defaultRowHeight="18"/>
  <cols>
    <col min="1" max="1" width="5.28515625" style="262" customWidth="1"/>
    <col min="2" max="2" width="57.5703125" style="263" customWidth="1"/>
    <col min="3" max="3" width="20" style="263" customWidth="1"/>
    <col min="4" max="4" width="22.140625" style="263" customWidth="1"/>
    <col min="5" max="5" width="24.42578125" style="263" customWidth="1"/>
    <col min="6" max="6" width="21.140625" style="263" customWidth="1"/>
    <col min="7" max="7" width="21.42578125" style="263" customWidth="1"/>
    <col min="8" max="8" width="23" style="263" customWidth="1"/>
    <col min="9" max="9" width="24.7109375" style="263" customWidth="1"/>
    <col min="10" max="10" width="20.5703125" style="263" customWidth="1"/>
    <col min="11" max="11" width="40" style="263" customWidth="1"/>
    <col min="12" max="12" width="18.7109375" style="263" customWidth="1"/>
    <col min="13" max="13" width="16.85546875" style="263" customWidth="1"/>
    <col min="14" max="14" width="17.7109375" style="263" customWidth="1"/>
    <col min="15" max="16" width="18.5703125" style="263" customWidth="1"/>
    <col min="17" max="18" width="16.42578125" style="263" customWidth="1"/>
    <col min="19" max="19" width="33.5703125" style="263" customWidth="1"/>
    <col min="20" max="20" width="23.42578125" style="263" customWidth="1"/>
    <col min="21" max="21" width="35.5703125" style="263" customWidth="1"/>
    <col min="22" max="22" width="26" style="263" customWidth="1"/>
    <col min="23" max="244" width="9.7109375" style="263"/>
    <col min="245" max="16384" width="9.7109375" style="262"/>
  </cols>
  <sheetData>
    <row r="1" spans="2:244">
      <c r="IJ1" s="262"/>
    </row>
    <row r="2" spans="2:244">
      <c r="IJ2" s="262"/>
    </row>
    <row r="3" spans="2:244" ht="23.25">
      <c r="B3" s="1157" t="s">
        <v>937</v>
      </c>
      <c r="C3" s="1158"/>
      <c r="D3" s="1158"/>
      <c r="E3" s="1158"/>
      <c r="F3" s="1158"/>
      <c r="G3" s="1158"/>
      <c r="H3" s="1158"/>
      <c r="I3" s="1158"/>
      <c r="J3" s="1158"/>
      <c r="K3" s="1158"/>
      <c r="L3" s="1158"/>
      <c r="M3" s="1159"/>
      <c r="IH3" s="262"/>
      <c r="II3" s="262"/>
      <c r="IJ3" s="262"/>
    </row>
    <row r="4" spans="2:244" ht="105" customHeight="1">
      <c r="B4" s="264" t="s">
        <v>938</v>
      </c>
      <c r="C4" s="265" t="s">
        <v>939</v>
      </c>
      <c r="D4" s="265" t="s">
        <v>940</v>
      </c>
      <c r="E4" s="265" t="s">
        <v>941</v>
      </c>
      <c r="F4" s="265" t="s">
        <v>942</v>
      </c>
      <c r="G4" s="265" t="s">
        <v>943</v>
      </c>
      <c r="H4" s="266" t="s">
        <v>944</v>
      </c>
      <c r="I4" s="266" t="s">
        <v>945</v>
      </c>
      <c r="J4" s="265" t="s">
        <v>946</v>
      </c>
      <c r="K4" s="293" t="s">
        <v>947</v>
      </c>
      <c r="L4" s="294" t="s">
        <v>890</v>
      </c>
      <c r="M4" s="295" t="s">
        <v>948</v>
      </c>
      <c r="IH4" s="262"/>
      <c r="II4" s="262"/>
      <c r="IJ4" s="262"/>
    </row>
    <row r="5" spans="2:244" ht="35.25" customHeight="1">
      <c r="B5" s="267" t="s">
        <v>949</v>
      </c>
      <c r="C5" s="268">
        <f>8047.1</f>
        <v>8047.1</v>
      </c>
      <c r="D5" s="268">
        <v>5817.69</v>
      </c>
      <c r="E5" s="269"/>
      <c r="F5" s="269"/>
      <c r="G5" s="269"/>
      <c r="H5" s="269"/>
      <c r="I5" s="269"/>
      <c r="J5" s="269"/>
      <c r="K5" s="296">
        <f>Áreas_edf_e_Descrição_postos!F17</f>
        <v>2691.93</v>
      </c>
      <c r="L5" s="297">
        <f>AVERAGE(C5:K5)</f>
        <v>5518.9066666666668</v>
      </c>
      <c r="M5" s="298">
        <f>K5-L5</f>
        <v>-2826.9766666666669</v>
      </c>
      <c r="IH5" s="262"/>
      <c r="II5" s="262"/>
      <c r="IJ5" s="262"/>
    </row>
    <row r="6" spans="2:244" ht="42" customHeight="1">
      <c r="B6" s="270" t="s">
        <v>950</v>
      </c>
      <c r="C6" s="271"/>
      <c r="D6" s="271"/>
      <c r="E6" s="272">
        <v>4472.49</v>
      </c>
      <c r="F6" s="271"/>
      <c r="G6" s="273">
        <f>3159.95*(1+3.8/100)*(1+3.79/100)</f>
        <v>3404.3411649899999</v>
      </c>
      <c r="H6" s="273">
        <f>3070*(1+3.8/100)*(1+3.79/100)</f>
        <v>3307.4344139999998</v>
      </c>
      <c r="I6" s="299">
        <f>3265.05*(1+3.79/100)</f>
        <v>3388.7953950000001</v>
      </c>
      <c r="J6" s="300">
        <v>3289.5</v>
      </c>
      <c r="K6" s="301" t="e">
        <f>Áreas_edf_e_Descrição_postos!#REF!</f>
        <v>#REF!</v>
      </c>
      <c r="L6" s="302" t="e">
        <f>AVERAGE(C6:K6)</f>
        <v>#REF!</v>
      </c>
      <c r="M6" s="303" t="e">
        <f t="shared" ref="M6:M8" si="0">K6-L6</f>
        <v>#REF!</v>
      </c>
      <c r="IH6" s="262"/>
      <c r="II6" s="262"/>
      <c r="IJ6" s="262"/>
    </row>
    <row r="7" spans="2:244" ht="39" customHeight="1">
      <c r="B7" s="270" t="s">
        <v>951</v>
      </c>
      <c r="C7" s="273">
        <v>4878.33</v>
      </c>
      <c r="D7" s="271"/>
      <c r="E7" s="272">
        <v>2721.65</v>
      </c>
      <c r="F7" s="273">
        <v>2916.43</v>
      </c>
      <c r="G7" s="273">
        <f>2478.46*(1+3.8/100)*(1+3.79/100)</f>
        <v>2670.144592092</v>
      </c>
      <c r="H7" s="273">
        <f>1738*(1+3.8/100)*(1+3.79/100)</f>
        <v>1872.4172676000001</v>
      </c>
      <c r="I7" s="271"/>
      <c r="J7" s="304">
        <v>1901.53</v>
      </c>
      <c r="K7" s="305" t="e">
        <f>Áreas_edf_e_Descrição_postos!#REF!</f>
        <v>#REF!</v>
      </c>
      <c r="L7" s="302" t="e">
        <f>AVERAGE(C7:K7)</f>
        <v>#REF!</v>
      </c>
      <c r="M7" s="306" t="e">
        <f t="shared" si="0"/>
        <v>#REF!</v>
      </c>
      <c r="IH7" s="262"/>
      <c r="II7" s="262"/>
      <c r="IJ7" s="262"/>
    </row>
    <row r="8" spans="2:244" ht="39" customHeight="1">
      <c r="B8" s="274" t="s">
        <v>952</v>
      </c>
      <c r="C8" s="275"/>
      <c r="D8" s="275"/>
      <c r="E8" s="276">
        <v>2540.19</v>
      </c>
      <c r="F8" s="275"/>
      <c r="G8" s="277">
        <f>2342.41*(1+3.8/100)*(1+3.79/100)</f>
        <v>2523.572457882</v>
      </c>
      <c r="H8" s="277">
        <f>1738*(1+3.8/100)*(1+3.79/100)</f>
        <v>1872.4172676000001</v>
      </c>
      <c r="I8" s="277">
        <f>2111.65*(1+3.79/100)</f>
        <v>2191.6815350000002</v>
      </c>
      <c r="J8" s="307">
        <v>2590.09</v>
      </c>
      <c r="K8" s="308" t="e">
        <f>Áreas_edf_e_Descrição_postos!#REF!</f>
        <v>#REF!</v>
      </c>
      <c r="L8" s="309" t="e">
        <f>AVERAGE(C8:K8)</f>
        <v>#REF!</v>
      </c>
      <c r="M8" s="310" t="e">
        <f t="shared" si="0"/>
        <v>#REF!</v>
      </c>
      <c r="IH8" s="262"/>
      <c r="II8" s="262"/>
      <c r="IJ8" s="262"/>
    </row>
    <row r="9" spans="2:244">
      <c r="II9" s="262"/>
      <c r="IJ9" s="262"/>
    </row>
    <row r="10" spans="2:244">
      <c r="R10" s="315"/>
      <c r="S10" s="315"/>
      <c r="T10" s="315"/>
    </row>
    <row r="11" spans="2:244">
      <c r="U11" s="316"/>
      <c r="IJ11" s="262"/>
    </row>
    <row r="12" spans="2:244" s="261" customFormat="1" ht="21.75" customHeight="1">
      <c r="B12" s="1160" t="s">
        <v>16</v>
      </c>
      <c r="C12" s="1161"/>
      <c r="D12" s="1161"/>
      <c r="E12" s="1161"/>
      <c r="F12" s="1161"/>
      <c r="G12" s="1161"/>
      <c r="H12" s="1161"/>
      <c r="I12" s="1161"/>
      <c r="J12" s="1161"/>
      <c r="K12" s="1161"/>
      <c r="L12" s="1161"/>
      <c r="M12" s="1161"/>
      <c r="N12" s="1161"/>
      <c r="O12" s="1161"/>
      <c r="P12" s="1161"/>
      <c r="Q12" s="1161"/>
      <c r="R12" s="1161"/>
      <c r="S12" s="1161"/>
      <c r="T12" s="1162"/>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c r="AS12" s="287"/>
      <c r="AT12" s="287"/>
      <c r="AU12" s="287"/>
      <c r="AV12" s="287"/>
      <c r="AW12" s="287"/>
      <c r="AX12" s="287"/>
      <c r="AY12" s="287"/>
      <c r="AZ12" s="287"/>
      <c r="BA12" s="287"/>
      <c r="BB12" s="287"/>
      <c r="BC12" s="287"/>
      <c r="BD12" s="287"/>
      <c r="BE12" s="287"/>
      <c r="BF12" s="287"/>
      <c r="BG12" s="287"/>
      <c r="BH12" s="287"/>
      <c r="BI12" s="287"/>
      <c r="BJ12" s="287"/>
      <c r="BK12" s="287"/>
      <c r="BL12" s="287"/>
      <c r="BM12" s="287"/>
      <c r="BN12" s="287"/>
      <c r="BO12" s="287"/>
      <c r="BP12" s="287"/>
      <c r="BQ12" s="287"/>
      <c r="BR12" s="287"/>
      <c r="BS12" s="287"/>
      <c r="BT12" s="287"/>
      <c r="BU12" s="287"/>
      <c r="BV12" s="287"/>
      <c r="BW12" s="287"/>
      <c r="BX12" s="287"/>
      <c r="BY12" s="287"/>
      <c r="BZ12" s="287"/>
      <c r="CA12" s="287"/>
      <c r="CB12" s="287"/>
      <c r="CC12" s="287"/>
      <c r="CD12" s="287"/>
      <c r="CE12" s="287"/>
      <c r="CF12" s="287"/>
      <c r="CG12" s="287"/>
      <c r="CH12" s="287"/>
      <c r="CI12" s="287"/>
      <c r="CJ12" s="287"/>
      <c r="CK12" s="287"/>
      <c r="CL12" s="287"/>
      <c r="CM12" s="287"/>
      <c r="CN12" s="287"/>
      <c r="CO12" s="287"/>
      <c r="CP12" s="287"/>
      <c r="CQ12" s="287"/>
      <c r="CR12" s="287"/>
      <c r="CS12" s="287"/>
      <c r="CT12" s="287"/>
      <c r="CU12" s="287"/>
      <c r="CV12" s="287"/>
      <c r="CW12" s="287"/>
      <c r="CX12" s="287"/>
      <c r="CY12" s="287"/>
      <c r="CZ12" s="287"/>
      <c r="DA12" s="287"/>
      <c r="DB12" s="287"/>
      <c r="DC12" s="287"/>
      <c r="DD12" s="287"/>
      <c r="DE12" s="287"/>
      <c r="DF12" s="287"/>
      <c r="DG12" s="287"/>
      <c r="DH12" s="287"/>
      <c r="DI12" s="287"/>
      <c r="DJ12" s="287"/>
      <c r="DK12" s="287"/>
      <c r="DL12" s="287"/>
      <c r="DM12" s="287"/>
      <c r="DN12" s="287"/>
      <c r="DO12" s="287"/>
      <c r="DP12" s="287"/>
      <c r="DQ12" s="287"/>
      <c r="DR12" s="287"/>
      <c r="DS12" s="287"/>
      <c r="DT12" s="287"/>
      <c r="DU12" s="287"/>
      <c r="DV12" s="287"/>
      <c r="DW12" s="287"/>
      <c r="DX12" s="287"/>
      <c r="DY12" s="287"/>
      <c r="DZ12" s="287"/>
      <c r="EA12" s="287"/>
      <c r="EB12" s="287"/>
      <c r="EC12" s="287"/>
      <c r="ED12" s="287"/>
      <c r="EE12" s="287"/>
      <c r="EF12" s="287"/>
      <c r="EG12" s="287"/>
      <c r="EH12" s="287"/>
      <c r="EI12" s="287"/>
      <c r="EJ12" s="287"/>
      <c r="EK12" s="287"/>
      <c r="EL12" s="287"/>
      <c r="EM12" s="287"/>
      <c r="EN12" s="287"/>
      <c r="EO12" s="287"/>
      <c r="EP12" s="287"/>
      <c r="EQ12" s="287"/>
      <c r="ER12" s="287"/>
      <c r="ES12" s="287"/>
      <c r="ET12" s="287"/>
      <c r="EU12" s="287"/>
      <c r="EV12" s="287"/>
      <c r="EW12" s="287"/>
      <c r="EX12" s="287"/>
      <c r="EY12" s="287"/>
      <c r="EZ12" s="287"/>
      <c r="FA12" s="287"/>
      <c r="FB12" s="287"/>
      <c r="FC12" s="287"/>
      <c r="FD12" s="287"/>
      <c r="FE12" s="287"/>
      <c r="FF12" s="287"/>
      <c r="FG12" s="287"/>
      <c r="FH12" s="287"/>
      <c r="FI12" s="287"/>
      <c r="FJ12" s="287"/>
      <c r="FK12" s="287"/>
      <c r="FL12" s="287"/>
      <c r="FM12" s="287"/>
      <c r="FN12" s="287"/>
      <c r="FO12" s="287"/>
      <c r="FP12" s="287"/>
      <c r="FQ12" s="287"/>
      <c r="FR12" s="287"/>
      <c r="FS12" s="287"/>
      <c r="FT12" s="287"/>
      <c r="FU12" s="287"/>
      <c r="FV12" s="287"/>
      <c r="FW12" s="287"/>
      <c r="FX12" s="287"/>
      <c r="FY12" s="287"/>
      <c r="FZ12" s="287"/>
      <c r="GA12" s="287"/>
      <c r="GB12" s="287"/>
      <c r="GC12" s="287"/>
      <c r="GD12" s="287"/>
      <c r="GE12" s="287"/>
      <c r="GF12" s="287"/>
      <c r="GG12" s="287"/>
      <c r="GH12" s="287"/>
      <c r="GI12" s="287"/>
      <c r="GJ12" s="287"/>
      <c r="GK12" s="287"/>
      <c r="GL12" s="287"/>
      <c r="GM12" s="287"/>
      <c r="GN12" s="287"/>
      <c r="GO12" s="287"/>
      <c r="GP12" s="287"/>
      <c r="GQ12" s="287"/>
      <c r="GR12" s="287"/>
      <c r="GS12" s="287"/>
      <c r="GT12" s="287"/>
      <c r="GU12" s="287"/>
      <c r="GV12" s="287"/>
      <c r="GW12" s="287"/>
      <c r="GX12" s="287"/>
      <c r="GY12" s="287"/>
      <c r="GZ12" s="287"/>
      <c r="HA12" s="287"/>
      <c r="HB12" s="287"/>
      <c r="HC12" s="287"/>
      <c r="HD12" s="287"/>
      <c r="HE12" s="287"/>
      <c r="HF12" s="287"/>
      <c r="HG12" s="287"/>
      <c r="HH12" s="287"/>
      <c r="HI12" s="287"/>
      <c r="HJ12" s="287"/>
      <c r="HK12" s="287"/>
      <c r="HL12" s="287"/>
      <c r="HM12" s="287"/>
      <c r="HN12" s="287"/>
      <c r="HO12" s="287"/>
      <c r="HP12" s="287"/>
      <c r="HQ12" s="287"/>
      <c r="HR12" s="287"/>
      <c r="HS12" s="287"/>
      <c r="HT12" s="287"/>
      <c r="HU12" s="287"/>
      <c r="HV12" s="287"/>
      <c r="HW12" s="287"/>
      <c r="HX12" s="287"/>
      <c r="HY12" s="287"/>
      <c r="HZ12" s="287"/>
      <c r="IA12" s="287"/>
      <c r="IB12" s="287"/>
      <c r="IC12" s="287"/>
      <c r="ID12" s="287"/>
      <c r="IE12" s="287"/>
      <c r="IF12" s="287"/>
    </row>
    <row r="13" spans="2:244" s="261" customFormat="1" ht="42" customHeight="1">
      <c r="B13" s="278" t="s">
        <v>17</v>
      </c>
      <c r="C13" s="279" t="s">
        <v>18</v>
      </c>
      <c r="D13" s="280" t="s">
        <v>944</v>
      </c>
      <c r="E13" s="280" t="s">
        <v>945</v>
      </c>
      <c r="F13" s="280" t="s">
        <v>953</v>
      </c>
      <c r="G13" s="280" t="s">
        <v>939</v>
      </c>
      <c r="H13" s="280" t="s">
        <v>942</v>
      </c>
      <c r="I13" s="280" t="s">
        <v>946</v>
      </c>
      <c r="J13" s="280" t="s">
        <v>954</v>
      </c>
      <c r="K13" s="280" t="s">
        <v>940</v>
      </c>
      <c r="L13" s="311" t="s">
        <v>941</v>
      </c>
      <c r="M13" s="312" t="s">
        <v>955</v>
      </c>
      <c r="N13" s="312" t="s">
        <v>956</v>
      </c>
      <c r="O13" s="312" t="s">
        <v>957</v>
      </c>
      <c r="P13" s="312" t="s">
        <v>958</v>
      </c>
      <c r="Q13" s="278" t="s">
        <v>19</v>
      </c>
      <c r="R13" s="278" t="s">
        <v>20</v>
      </c>
      <c r="S13" s="278" t="s">
        <v>21</v>
      </c>
      <c r="T13" s="278" t="s">
        <v>22</v>
      </c>
      <c r="U13" s="278" t="s">
        <v>959</v>
      </c>
      <c r="V13" s="278" t="s">
        <v>960</v>
      </c>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c r="AS13" s="287"/>
      <c r="AT13" s="287"/>
      <c r="AU13" s="287"/>
      <c r="AV13" s="287"/>
      <c r="AW13" s="287"/>
      <c r="AX13" s="287"/>
      <c r="AY13" s="287"/>
      <c r="AZ13" s="287"/>
      <c r="BA13" s="287"/>
      <c r="BB13" s="287"/>
      <c r="BC13" s="287"/>
      <c r="BD13" s="287"/>
      <c r="BE13" s="287"/>
      <c r="BF13" s="287"/>
      <c r="BG13" s="287"/>
      <c r="BH13" s="287"/>
      <c r="BI13" s="287"/>
      <c r="BJ13" s="287"/>
      <c r="BK13" s="287"/>
      <c r="BL13" s="287"/>
      <c r="BM13" s="287"/>
      <c r="BN13" s="287"/>
      <c r="BO13" s="287"/>
      <c r="BP13" s="287"/>
      <c r="BQ13" s="287"/>
      <c r="BR13" s="287"/>
      <c r="BS13" s="287"/>
      <c r="BT13" s="287"/>
      <c r="BU13" s="287"/>
      <c r="BV13" s="287"/>
      <c r="BW13" s="287"/>
      <c r="BX13" s="287"/>
      <c r="BY13" s="287"/>
      <c r="BZ13" s="287"/>
      <c r="CA13" s="287"/>
      <c r="CB13" s="287"/>
      <c r="CC13" s="287"/>
      <c r="CD13" s="287"/>
      <c r="CE13" s="287"/>
      <c r="CF13" s="287"/>
      <c r="CG13" s="287"/>
      <c r="CH13" s="287"/>
      <c r="CI13" s="287"/>
      <c r="CJ13" s="287"/>
      <c r="CK13" s="287"/>
      <c r="CL13" s="287"/>
      <c r="CM13" s="287"/>
      <c r="CN13" s="287"/>
      <c r="CO13" s="287"/>
      <c r="CP13" s="287"/>
      <c r="CQ13" s="287"/>
      <c r="CR13" s="287"/>
      <c r="CS13" s="287"/>
      <c r="CT13" s="287"/>
      <c r="CU13" s="287"/>
      <c r="CV13" s="287"/>
      <c r="CW13" s="287"/>
      <c r="CX13" s="287"/>
      <c r="CY13" s="287"/>
      <c r="CZ13" s="287"/>
      <c r="DA13" s="287"/>
      <c r="DB13" s="287"/>
      <c r="DC13" s="287"/>
      <c r="DD13" s="287"/>
      <c r="DE13" s="287"/>
      <c r="DF13" s="287"/>
      <c r="DG13" s="287"/>
      <c r="DH13" s="287"/>
      <c r="DI13" s="287"/>
      <c r="DJ13" s="287"/>
      <c r="DK13" s="287"/>
      <c r="DL13" s="287"/>
      <c r="DM13" s="287"/>
      <c r="DN13" s="287"/>
      <c r="DO13" s="287"/>
      <c r="DP13" s="287"/>
      <c r="DQ13" s="287"/>
      <c r="DR13" s="287"/>
      <c r="DS13" s="287"/>
      <c r="DT13" s="287"/>
      <c r="DU13" s="287"/>
      <c r="DV13" s="287"/>
      <c r="DW13" s="287"/>
      <c r="DX13" s="287"/>
      <c r="DY13" s="287"/>
      <c r="DZ13" s="287"/>
      <c r="EA13" s="287"/>
      <c r="EB13" s="287"/>
      <c r="EC13" s="287"/>
      <c r="ED13" s="287"/>
      <c r="EE13" s="287"/>
      <c r="EF13" s="287"/>
      <c r="EG13" s="287"/>
      <c r="EH13" s="287"/>
      <c r="EI13" s="287"/>
      <c r="EJ13" s="287"/>
      <c r="EK13" s="287"/>
      <c r="EL13" s="287"/>
      <c r="EM13" s="287"/>
      <c r="EN13" s="287"/>
      <c r="EO13" s="287"/>
      <c r="EP13" s="287"/>
      <c r="EQ13" s="287"/>
      <c r="ER13" s="287"/>
      <c r="ES13" s="287"/>
      <c r="ET13" s="287"/>
      <c r="EU13" s="287"/>
      <c r="EV13" s="287"/>
      <c r="EW13" s="287"/>
      <c r="EX13" s="287"/>
      <c r="EY13" s="287"/>
      <c r="EZ13" s="287"/>
      <c r="FA13" s="287"/>
      <c r="FB13" s="287"/>
      <c r="FC13" s="287"/>
      <c r="FD13" s="287"/>
      <c r="FE13" s="287"/>
      <c r="FF13" s="287"/>
      <c r="FG13" s="287"/>
      <c r="FH13" s="287"/>
      <c r="FI13" s="287"/>
      <c r="FJ13" s="287"/>
      <c r="FK13" s="287"/>
      <c r="FL13" s="287"/>
      <c r="FM13" s="287"/>
      <c r="FN13" s="287"/>
      <c r="FO13" s="287"/>
      <c r="FP13" s="287"/>
      <c r="FQ13" s="287"/>
      <c r="FR13" s="287"/>
      <c r="FS13" s="287"/>
      <c r="FT13" s="287"/>
      <c r="FU13" s="287"/>
      <c r="FV13" s="287"/>
      <c r="FW13" s="287"/>
      <c r="FX13" s="287"/>
      <c r="FY13" s="287"/>
      <c r="FZ13" s="287"/>
      <c r="GA13" s="287"/>
      <c r="GB13" s="287"/>
      <c r="GC13" s="287"/>
      <c r="GD13" s="287"/>
      <c r="GE13" s="287"/>
      <c r="GF13" s="287"/>
      <c r="GG13" s="287"/>
      <c r="GH13" s="287"/>
      <c r="GI13" s="287"/>
      <c r="GJ13" s="287"/>
      <c r="GK13" s="287"/>
      <c r="GL13" s="287"/>
      <c r="GM13" s="287"/>
      <c r="GN13" s="287"/>
      <c r="GO13" s="287"/>
      <c r="GP13" s="287"/>
      <c r="GQ13" s="287"/>
      <c r="GR13" s="287"/>
      <c r="GS13" s="287"/>
      <c r="GT13" s="287"/>
      <c r="GU13" s="287"/>
      <c r="GV13" s="287"/>
      <c r="GW13" s="287"/>
      <c r="GX13" s="287"/>
      <c r="GY13" s="287"/>
      <c r="GZ13" s="287"/>
      <c r="HA13" s="287"/>
      <c r="HB13" s="287"/>
      <c r="HC13" s="287"/>
      <c r="HD13" s="287"/>
      <c r="HE13" s="287"/>
      <c r="HF13" s="287"/>
      <c r="HG13" s="287"/>
      <c r="HH13" s="287"/>
      <c r="HI13" s="287"/>
      <c r="HJ13" s="287"/>
      <c r="HK13" s="287"/>
      <c r="HL13" s="287"/>
      <c r="HM13" s="287"/>
      <c r="HN13" s="287"/>
      <c r="HO13" s="287"/>
      <c r="HP13" s="287"/>
      <c r="HQ13" s="287"/>
      <c r="HR13" s="287"/>
      <c r="HS13" s="287"/>
      <c r="HT13" s="287"/>
      <c r="HU13" s="287"/>
      <c r="HV13" s="287"/>
      <c r="HW13" s="287"/>
      <c r="HX13" s="287"/>
      <c r="HY13" s="287"/>
      <c r="HZ13" s="287"/>
      <c r="IA13" s="287"/>
      <c r="IB13" s="287"/>
      <c r="IC13" s="287"/>
      <c r="ID13" s="287"/>
      <c r="IE13" s="287"/>
      <c r="IF13" s="287"/>
      <c r="IG13" s="287"/>
      <c r="IH13" s="287"/>
    </row>
    <row r="14" spans="2:244" s="261" customFormat="1" ht="30" customHeight="1">
      <c r="B14" s="281" t="str">
        <f>RESUMO_Preços!C5</f>
        <v>Supervisor</v>
      </c>
      <c r="C14" s="282">
        <f>RESUMO_Preços!K5</f>
        <v>9650.25</v>
      </c>
      <c r="D14" s="283">
        <f>17935.05*1.0552</f>
        <v>18925.064760000001</v>
      </c>
      <c r="E14" s="283">
        <f>19228.23*(1+3.79/100)</f>
        <v>19956.979917000001</v>
      </c>
      <c r="F14" s="283">
        <f>25457.26*(1+3.8/100)*(1+3.79/100)</f>
        <v>27426.129579852</v>
      </c>
      <c r="G14" s="284"/>
      <c r="H14" s="284"/>
      <c r="I14" s="313">
        <v>17002.68</v>
      </c>
      <c r="J14" s="284"/>
      <c r="K14" s="313">
        <v>19404.8</v>
      </c>
      <c r="L14" s="314">
        <v>25125.07</v>
      </c>
      <c r="M14" s="313">
        <f>16926.75*(1+28.99/100)</f>
        <v>21833.814825000001</v>
      </c>
      <c r="N14" s="313">
        <v>29129.52</v>
      </c>
      <c r="O14" s="313">
        <v>30298.720000000001</v>
      </c>
      <c r="P14" s="313">
        <v>30396.98</v>
      </c>
      <c r="Q14" s="317">
        <f>AVERAGE(D14:P14)</f>
        <v>23949.975908185199</v>
      </c>
      <c r="R14" s="318">
        <f>MEDIAN(D14:P14)</f>
        <v>23479.442412500001</v>
      </c>
      <c r="S14" s="318">
        <f>SMALL(Q14:R14,1)</f>
        <v>23479.442412500001</v>
      </c>
      <c r="T14" s="319">
        <f>C14-S14</f>
        <v>-13829.192412500001</v>
      </c>
      <c r="U14" s="318">
        <f>AVERAGE(D14:L14)</f>
        <v>21306.787376142001</v>
      </c>
      <c r="V14" s="319">
        <f>C14-U14</f>
        <v>-11656.537376142001</v>
      </c>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c r="AW14" s="287"/>
      <c r="AX14" s="287"/>
      <c r="AY14" s="287"/>
      <c r="AZ14" s="287"/>
      <c r="BA14" s="287"/>
      <c r="BB14" s="287"/>
      <c r="BC14" s="287"/>
      <c r="BD14" s="287"/>
      <c r="BE14" s="287"/>
      <c r="BF14" s="287"/>
      <c r="BG14" s="287"/>
      <c r="BH14" s="287"/>
      <c r="BI14" s="287"/>
      <c r="BJ14" s="287"/>
      <c r="BK14" s="287"/>
      <c r="BL14" s="287"/>
      <c r="BM14" s="287"/>
      <c r="BN14" s="287"/>
      <c r="BO14" s="287"/>
      <c r="BP14" s="287"/>
      <c r="BQ14" s="287"/>
      <c r="BR14" s="287"/>
      <c r="BS14" s="287"/>
      <c r="BT14" s="287"/>
      <c r="BU14" s="287"/>
      <c r="BV14" s="287"/>
      <c r="BW14" s="287"/>
      <c r="BX14" s="287"/>
      <c r="BY14" s="287"/>
      <c r="BZ14" s="287"/>
      <c r="CA14" s="287"/>
      <c r="CB14" s="287"/>
      <c r="CC14" s="287"/>
      <c r="CD14" s="287"/>
      <c r="CE14" s="287"/>
      <c r="CF14" s="287"/>
      <c r="CG14" s="287"/>
      <c r="CH14" s="287"/>
      <c r="CI14" s="287"/>
      <c r="CJ14" s="287"/>
      <c r="CK14" s="287"/>
      <c r="CL14" s="287"/>
      <c r="CM14" s="287"/>
      <c r="CN14" s="287"/>
      <c r="CO14" s="287"/>
      <c r="CP14" s="287"/>
      <c r="CQ14" s="287"/>
      <c r="CR14" s="287"/>
      <c r="CS14" s="287"/>
      <c r="CT14" s="287"/>
      <c r="CU14" s="287"/>
      <c r="CV14" s="287"/>
      <c r="CW14" s="287"/>
      <c r="CX14" s="287"/>
      <c r="CY14" s="287"/>
      <c r="CZ14" s="287"/>
      <c r="DA14" s="287"/>
      <c r="DB14" s="287"/>
      <c r="DC14" s="287"/>
      <c r="DD14" s="287"/>
      <c r="DE14" s="287"/>
      <c r="DF14" s="287"/>
      <c r="DG14" s="287"/>
      <c r="DH14" s="287"/>
      <c r="DI14" s="287"/>
      <c r="DJ14" s="287"/>
      <c r="DK14" s="287"/>
      <c r="DL14" s="287"/>
      <c r="DM14" s="287"/>
      <c r="DN14" s="287"/>
      <c r="DO14" s="287"/>
      <c r="DP14" s="287"/>
      <c r="DQ14" s="287"/>
      <c r="DR14" s="287"/>
      <c r="DS14" s="287"/>
      <c r="DT14" s="287"/>
      <c r="DU14" s="287"/>
      <c r="DV14" s="287"/>
      <c r="DW14" s="287"/>
      <c r="DX14" s="287"/>
      <c r="DY14" s="287"/>
      <c r="DZ14" s="287"/>
      <c r="EA14" s="287"/>
      <c r="EB14" s="287"/>
      <c r="EC14" s="287"/>
      <c r="ED14" s="287"/>
      <c r="EE14" s="287"/>
      <c r="EF14" s="287"/>
      <c r="EG14" s="287"/>
      <c r="EH14" s="287"/>
      <c r="EI14" s="287"/>
      <c r="EJ14" s="287"/>
      <c r="EK14" s="287"/>
      <c r="EL14" s="287"/>
      <c r="EM14" s="287"/>
      <c r="EN14" s="287"/>
      <c r="EO14" s="287"/>
      <c r="EP14" s="287"/>
      <c r="EQ14" s="287"/>
      <c r="ER14" s="287"/>
      <c r="ES14" s="287"/>
      <c r="ET14" s="287"/>
      <c r="EU14" s="287"/>
      <c r="EV14" s="287"/>
      <c r="EW14" s="287"/>
      <c r="EX14" s="287"/>
      <c r="EY14" s="287"/>
      <c r="EZ14" s="287"/>
      <c r="FA14" s="287"/>
      <c r="FB14" s="287"/>
      <c r="FC14" s="287"/>
      <c r="FD14" s="287"/>
      <c r="FE14" s="287"/>
      <c r="FF14" s="287"/>
      <c r="FG14" s="287"/>
      <c r="FH14" s="287"/>
      <c r="FI14" s="287"/>
      <c r="FJ14" s="287"/>
      <c r="FK14" s="287"/>
      <c r="FL14" s="287"/>
      <c r="FM14" s="287"/>
      <c r="FN14" s="287"/>
      <c r="FO14" s="287"/>
      <c r="FP14" s="287"/>
      <c r="FQ14" s="287"/>
      <c r="FR14" s="287"/>
      <c r="FS14" s="287"/>
      <c r="FT14" s="287"/>
      <c r="FU14" s="287"/>
      <c r="FV14" s="287"/>
      <c r="FW14" s="287"/>
      <c r="FX14" s="287"/>
      <c r="FY14" s="287"/>
      <c r="FZ14" s="287"/>
      <c r="GA14" s="287"/>
      <c r="GB14" s="287"/>
      <c r="GC14" s="287"/>
      <c r="GD14" s="287"/>
      <c r="GE14" s="287"/>
      <c r="GF14" s="287"/>
      <c r="GG14" s="287"/>
      <c r="GH14" s="287"/>
      <c r="GI14" s="287"/>
      <c r="GJ14" s="287"/>
      <c r="GK14" s="287"/>
      <c r="GL14" s="287"/>
      <c r="GM14" s="287"/>
      <c r="GN14" s="287"/>
      <c r="GO14" s="287"/>
      <c r="GP14" s="287"/>
      <c r="GQ14" s="287"/>
      <c r="GR14" s="287"/>
      <c r="GS14" s="287"/>
      <c r="GT14" s="287"/>
      <c r="GU14" s="287"/>
      <c r="GV14" s="287"/>
      <c r="GW14" s="287"/>
      <c r="GX14" s="287"/>
      <c r="GY14" s="287"/>
      <c r="GZ14" s="287"/>
      <c r="HA14" s="287"/>
      <c r="HB14" s="287"/>
      <c r="HC14" s="287"/>
      <c r="HD14" s="287"/>
      <c r="HE14" s="287"/>
      <c r="HF14" s="287"/>
      <c r="HG14" s="287"/>
      <c r="HH14" s="287"/>
      <c r="HI14" s="287"/>
      <c r="HJ14" s="287"/>
      <c r="HK14" s="287"/>
      <c r="HL14" s="287"/>
      <c r="HM14" s="287"/>
      <c r="HN14" s="287"/>
      <c r="HO14" s="287"/>
      <c r="HP14" s="287"/>
      <c r="HQ14" s="287"/>
      <c r="HR14" s="287"/>
      <c r="HS14" s="287"/>
      <c r="HT14" s="287"/>
      <c r="HU14" s="287"/>
      <c r="HV14" s="287"/>
      <c r="HW14" s="287"/>
      <c r="HX14" s="287"/>
      <c r="HY14" s="287"/>
      <c r="HZ14" s="287"/>
      <c r="IA14" s="287"/>
      <c r="IB14" s="287"/>
      <c r="IC14" s="287"/>
      <c r="ID14" s="287"/>
      <c r="IE14" s="287"/>
      <c r="IF14" s="287"/>
      <c r="IG14" s="287"/>
      <c r="IH14" s="287"/>
    </row>
    <row r="15" spans="2:244" s="261" customFormat="1" ht="30" customHeight="1">
      <c r="B15" s="285" t="str">
        <f>RESUMO_Preços!C6</f>
        <v>Garçom</v>
      </c>
      <c r="C15" s="282">
        <f>RESUMO_Preços!K6</f>
        <v>7956.54</v>
      </c>
      <c r="D15" s="284"/>
      <c r="E15" s="284"/>
      <c r="F15" s="284"/>
      <c r="G15" s="286">
        <f>((8047.1+8047.1*61.1/100)*(1+24.41/100)+86045.84/109)</f>
        <v>16917.7721203568</v>
      </c>
      <c r="H15" s="284"/>
      <c r="I15" s="284"/>
      <c r="J15" s="284"/>
      <c r="K15" s="313">
        <v>12659.35</v>
      </c>
      <c r="L15" s="284"/>
      <c r="M15" s="313">
        <f>11749.14*(1+28.99/100)</f>
        <v>15155.215686</v>
      </c>
      <c r="N15" s="313">
        <v>19553.669999999998</v>
      </c>
      <c r="O15" s="313">
        <v>20657.86</v>
      </c>
      <c r="P15" s="313">
        <v>20611.54</v>
      </c>
      <c r="Q15" s="317">
        <f t="shared" ref="Q15:Q26" si="1">AVERAGE(D15:P15)</f>
        <v>17592.5679677261</v>
      </c>
      <c r="R15" s="318">
        <f t="shared" ref="R15:R26" si="2">MEDIAN(D15:P15)</f>
        <v>18235.721060178399</v>
      </c>
      <c r="S15" s="318">
        <f t="shared" ref="S15:S25" si="3">SMALL(Q15:R15,1)</f>
        <v>17592.5679677261</v>
      </c>
      <c r="T15" s="319">
        <f t="shared" ref="T15:T25" si="4">C15-S15</f>
        <v>-9636.0279677260987</v>
      </c>
      <c r="U15" s="318">
        <f t="shared" ref="U15:U26" si="5">AVERAGE(D15:L15)</f>
        <v>14788.561060178399</v>
      </c>
      <c r="V15" s="319">
        <f t="shared" ref="V15:V26" si="6">C15-U15</f>
        <v>-6832.0210601783992</v>
      </c>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c r="AS15" s="287"/>
      <c r="AT15" s="287"/>
      <c r="AU15" s="287"/>
      <c r="AV15" s="287"/>
      <c r="AW15" s="287"/>
      <c r="AX15" s="287"/>
      <c r="AY15" s="287"/>
      <c r="AZ15" s="287"/>
      <c r="BA15" s="287"/>
      <c r="BB15" s="287"/>
      <c r="BC15" s="287"/>
      <c r="BD15" s="287"/>
      <c r="BE15" s="287"/>
      <c r="BF15" s="287"/>
      <c r="BG15" s="287"/>
      <c r="BH15" s="287"/>
      <c r="BI15" s="287"/>
      <c r="BJ15" s="287"/>
      <c r="BK15" s="287"/>
      <c r="BL15" s="287"/>
      <c r="BM15" s="287"/>
      <c r="BN15" s="287"/>
      <c r="BO15" s="287"/>
      <c r="BP15" s="287"/>
      <c r="BQ15" s="287"/>
      <c r="BR15" s="287"/>
      <c r="BS15" s="287"/>
      <c r="BT15" s="287"/>
      <c r="BU15" s="287"/>
      <c r="BV15" s="287"/>
      <c r="BW15" s="287"/>
      <c r="BX15" s="287"/>
      <c r="BY15" s="287"/>
      <c r="BZ15" s="287"/>
      <c r="CA15" s="287"/>
      <c r="CB15" s="287"/>
      <c r="CC15" s="287"/>
      <c r="CD15" s="287"/>
      <c r="CE15" s="287"/>
      <c r="CF15" s="287"/>
      <c r="CG15" s="287"/>
      <c r="CH15" s="287"/>
      <c r="CI15" s="287"/>
      <c r="CJ15" s="287"/>
      <c r="CK15" s="287"/>
      <c r="CL15" s="287"/>
      <c r="CM15" s="287"/>
      <c r="CN15" s="287"/>
      <c r="CO15" s="287"/>
      <c r="CP15" s="287"/>
      <c r="CQ15" s="287"/>
      <c r="CR15" s="287"/>
      <c r="CS15" s="287"/>
      <c r="CT15" s="287"/>
      <c r="CU15" s="287"/>
      <c r="CV15" s="287"/>
      <c r="CW15" s="287"/>
      <c r="CX15" s="287"/>
      <c r="CY15" s="287"/>
      <c r="CZ15" s="287"/>
      <c r="DA15" s="287"/>
      <c r="DB15" s="287"/>
      <c r="DC15" s="287"/>
      <c r="DD15" s="287"/>
      <c r="DE15" s="287"/>
      <c r="DF15" s="287"/>
      <c r="DG15" s="287"/>
      <c r="DH15" s="287"/>
      <c r="DI15" s="287"/>
      <c r="DJ15" s="287"/>
      <c r="DK15" s="287"/>
      <c r="DL15" s="287"/>
      <c r="DM15" s="287"/>
      <c r="DN15" s="287"/>
      <c r="DO15" s="287"/>
      <c r="DP15" s="287"/>
      <c r="DQ15" s="287"/>
      <c r="DR15" s="287"/>
      <c r="DS15" s="287"/>
      <c r="DT15" s="287"/>
      <c r="DU15" s="287"/>
      <c r="DV15" s="287"/>
      <c r="DW15" s="287"/>
      <c r="DX15" s="287"/>
      <c r="DY15" s="287"/>
      <c r="DZ15" s="287"/>
      <c r="EA15" s="287"/>
      <c r="EB15" s="287"/>
      <c r="EC15" s="287"/>
      <c r="ED15" s="287"/>
      <c r="EE15" s="287"/>
      <c r="EF15" s="287"/>
      <c r="EG15" s="287"/>
      <c r="EH15" s="287"/>
      <c r="EI15" s="287"/>
      <c r="EJ15" s="287"/>
      <c r="EK15" s="287"/>
      <c r="EL15" s="287"/>
      <c r="EM15" s="287"/>
      <c r="EN15" s="287"/>
      <c r="EO15" s="287"/>
      <c r="EP15" s="287"/>
      <c r="EQ15" s="287"/>
      <c r="ER15" s="287"/>
      <c r="ES15" s="287"/>
      <c r="ET15" s="287"/>
      <c r="EU15" s="287"/>
      <c r="EV15" s="287"/>
      <c r="EW15" s="287"/>
      <c r="EX15" s="287"/>
      <c r="EY15" s="287"/>
      <c r="EZ15" s="287"/>
      <c r="FA15" s="287"/>
      <c r="FB15" s="287"/>
      <c r="FC15" s="287"/>
      <c r="FD15" s="287"/>
      <c r="FE15" s="287"/>
      <c r="FF15" s="287"/>
      <c r="FG15" s="287"/>
      <c r="FH15" s="287"/>
      <c r="FI15" s="287"/>
      <c r="FJ15" s="287"/>
      <c r="FK15" s="287"/>
      <c r="FL15" s="287"/>
      <c r="FM15" s="287"/>
      <c r="FN15" s="287"/>
      <c r="FO15" s="287"/>
      <c r="FP15" s="287"/>
      <c r="FQ15" s="287"/>
      <c r="FR15" s="287"/>
      <c r="FS15" s="287"/>
      <c r="FT15" s="287"/>
      <c r="FU15" s="287"/>
      <c r="FV15" s="287"/>
      <c r="FW15" s="287"/>
      <c r="FX15" s="287"/>
      <c r="FY15" s="287"/>
      <c r="FZ15" s="287"/>
      <c r="GA15" s="287"/>
      <c r="GB15" s="287"/>
      <c r="GC15" s="287"/>
      <c r="GD15" s="287"/>
      <c r="GE15" s="287"/>
      <c r="GF15" s="287"/>
      <c r="GG15" s="287"/>
      <c r="GH15" s="287"/>
      <c r="GI15" s="287"/>
      <c r="GJ15" s="287"/>
      <c r="GK15" s="287"/>
      <c r="GL15" s="287"/>
      <c r="GM15" s="287"/>
      <c r="GN15" s="287"/>
      <c r="GO15" s="287"/>
      <c r="GP15" s="287"/>
      <c r="GQ15" s="287"/>
      <c r="GR15" s="287"/>
      <c r="GS15" s="287"/>
      <c r="GT15" s="287"/>
      <c r="GU15" s="287"/>
      <c r="GV15" s="287"/>
      <c r="GW15" s="287"/>
      <c r="GX15" s="287"/>
      <c r="GY15" s="287"/>
      <c r="GZ15" s="287"/>
      <c r="HA15" s="287"/>
      <c r="HB15" s="287"/>
      <c r="HC15" s="287"/>
      <c r="HD15" s="287"/>
      <c r="HE15" s="287"/>
      <c r="HF15" s="287"/>
      <c r="HG15" s="287"/>
      <c r="HH15" s="287"/>
      <c r="HI15" s="287"/>
      <c r="HJ15" s="287"/>
      <c r="HK15" s="287"/>
      <c r="HL15" s="287"/>
      <c r="HM15" s="287"/>
      <c r="HN15" s="287"/>
      <c r="HO15" s="287"/>
      <c r="HP15" s="287"/>
      <c r="HQ15" s="287"/>
      <c r="HR15" s="287"/>
      <c r="HS15" s="287"/>
      <c r="HT15" s="287"/>
      <c r="HU15" s="287"/>
      <c r="HV15" s="287"/>
      <c r="HW15" s="287"/>
      <c r="HX15" s="287"/>
      <c r="HY15" s="287"/>
      <c r="HZ15" s="287"/>
      <c r="IA15" s="287"/>
      <c r="IB15" s="287"/>
      <c r="IC15" s="287"/>
      <c r="ID15" s="287"/>
      <c r="IE15" s="287"/>
      <c r="IF15" s="287"/>
      <c r="IG15" s="287"/>
      <c r="IH15" s="287"/>
    </row>
    <row r="16" spans="2:244" s="261" customFormat="1" ht="30" customHeight="1">
      <c r="B16" s="285" t="e">
        <f>RESUMO_Preços!#REF!</f>
        <v>#REF!</v>
      </c>
      <c r="C16" s="282" t="e">
        <f>RESUMO_Preços!#REF!</f>
        <v>#REF!</v>
      </c>
      <c r="D16" s="283">
        <f>7181.26*(1+3.8/100)*(1+3.79/100)</f>
        <v>7736.6600846519996</v>
      </c>
      <c r="E16" s="283">
        <f>7281.9*(1+3.79/100)</f>
        <v>7557.8840099999998</v>
      </c>
      <c r="F16" s="283">
        <f>7631.23*(1+3.8/100)*(1+3.79/100)</f>
        <v>8221.430854446</v>
      </c>
      <c r="G16" s="284"/>
      <c r="H16" s="284"/>
      <c r="I16" s="313">
        <v>8861.68</v>
      </c>
      <c r="J16" s="284"/>
      <c r="K16" s="284"/>
      <c r="L16" s="313">
        <v>9005.7800000000007</v>
      </c>
      <c r="M16" s="313">
        <f>7202.3*(1+28.99/100)</f>
        <v>9290.2467699999997</v>
      </c>
      <c r="N16" s="313">
        <v>12526.02</v>
      </c>
      <c r="O16" s="313">
        <v>12468.98</v>
      </c>
      <c r="P16" s="313">
        <v>13276.9</v>
      </c>
      <c r="Q16" s="317">
        <f t="shared" si="1"/>
        <v>9882.8424132331093</v>
      </c>
      <c r="R16" s="318">
        <f t="shared" si="2"/>
        <v>9005.7800000000007</v>
      </c>
      <c r="S16" s="318">
        <f t="shared" si="3"/>
        <v>9005.7800000000007</v>
      </c>
      <c r="T16" s="319" t="e">
        <f t="shared" si="4"/>
        <v>#REF!</v>
      </c>
      <c r="U16" s="318">
        <f t="shared" si="5"/>
        <v>8276.6869898196001</v>
      </c>
      <c r="V16" s="320" t="e">
        <f t="shared" si="6"/>
        <v>#REF!</v>
      </c>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c r="AS16" s="287"/>
      <c r="AT16" s="287"/>
      <c r="AU16" s="287"/>
      <c r="AV16" s="287"/>
      <c r="AW16" s="287"/>
      <c r="AX16" s="287"/>
      <c r="AY16" s="287"/>
      <c r="AZ16" s="287"/>
      <c r="BA16" s="287"/>
      <c r="BB16" s="287"/>
      <c r="BC16" s="287"/>
      <c r="BD16" s="287"/>
      <c r="BE16" s="287"/>
      <c r="BF16" s="287"/>
      <c r="BG16" s="287"/>
      <c r="BH16" s="287"/>
      <c r="BI16" s="287"/>
      <c r="BJ16" s="287"/>
      <c r="BK16" s="287"/>
      <c r="BL16" s="287"/>
      <c r="BM16" s="287"/>
      <c r="BN16" s="287"/>
      <c r="BO16" s="287"/>
      <c r="BP16" s="287"/>
      <c r="BQ16" s="287"/>
      <c r="BR16" s="287"/>
      <c r="BS16" s="287"/>
      <c r="BT16" s="287"/>
      <c r="BU16" s="287"/>
      <c r="BV16" s="287"/>
      <c r="BW16" s="287"/>
      <c r="BX16" s="287"/>
      <c r="BY16" s="287"/>
      <c r="BZ16" s="287"/>
      <c r="CA16" s="287"/>
      <c r="CB16" s="287"/>
      <c r="CC16" s="287"/>
      <c r="CD16" s="287"/>
      <c r="CE16" s="287"/>
      <c r="CF16" s="287"/>
      <c r="CG16" s="287"/>
      <c r="CH16" s="287"/>
      <c r="CI16" s="287"/>
      <c r="CJ16" s="287"/>
      <c r="CK16" s="287"/>
      <c r="CL16" s="287"/>
      <c r="CM16" s="287"/>
      <c r="CN16" s="287"/>
      <c r="CO16" s="287"/>
      <c r="CP16" s="287"/>
      <c r="CQ16" s="287"/>
      <c r="CR16" s="287"/>
      <c r="CS16" s="287"/>
      <c r="CT16" s="287"/>
      <c r="CU16" s="287"/>
      <c r="CV16" s="287"/>
      <c r="CW16" s="287"/>
      <c r="CX16" s="287"/>
      <c r="CY16" s="287"/>
      <c r="CZ16" s="287"/>
      <c r="DA16" s="287"/>
      <c r="DB16" s="287"/>
      <c r="DC16" s="287"/>
      <c r="DD16" s="287"/>
      <c r="DE16" s="287"/>
      <c r="DF16" s="287"/>
      <c r="DG16" s="287"/>
      <c r="DH16" s="287"/>
      <c r="DI16" s="287"/>
      <c r="DJ16" s="287"/>
      <c r="DK16" s="287"/>
      <c r="DL16" s="287"/>
      <c r="DM16" s="287"/>
      <c r="DN16" s="287"/>
      <c r="DO16" s="287"/>
      <c r="DP16" s="287"/>
      <c r="DQ16" s="287"/>
      <c r="DR16" s="287"/>
      <c r="DS16" s="287"/>
      <c r="DT16" s="287"/>
      <c r="DU16" s="287"/>
      <c r="DV16" s="287"/>
      <c r="DW16" s="287"/>
      <c r="DX16" s="287"/>
      <c r="DY16" s="287"/>
      <c r="DZ16" s="287"/>
      <c r="EA16" s="287"/>
      <c r="EB16" s="287"/>
      <c r="EC16" s="287"/>
      <c r="ED16" s="287"/>
      <c r="EE16" s="287"/>
      <c r="EF16" s="287"/>
      <c r="EG16" s="287"/>
      <c r="EH16" s="287"/>
      <c r="EI16" s="287"/>
      <c r="EJ16" s="287"/>
      <c r="EK16" s="287"/>
      <c r="EL16" s="287"/>
      <c r="EM16" s="287"/>
      <c r="EN16" s="287"/>
      <c r="EO16" s="287"/>
      <c r="EP16" s="287"/>
      <c r="EQ16" s="287"/>
      <c r="ER16" s="287"/>
      <c r="ES16" s="287"/>
      <c r="ET16" s="287"/>
      <c r="EU16" s="287"/>
      <c r="EV16" s="287"/>
      <c r="EW16" s="287"/>
      <c r="EX16" s="287"/>
      <c r="EY16" s="287"/>
      <c r="EZ16" s="287"/>
      <c r="FA16" s="287"/>
      <c r="FB16" s="287"/>
      <c r="FC16" s="287"/>
      <c r="FD16" s="287"/>
      <c r="FE16" s="287"/>
      <c r="FF16" s="287"/>
      <c r="FG16" s="287"/>
      <c r="FH16" s="287"/>
      <c r="FI16" s="287"/>
      <c r="FJ16" s="287"/>
      <c r="FK16" s="287"/>
      <c r="FL16" s="287"/>
      <c r="FM16" s="287"/>
      <c r="FN16" s="287"/>
      <c r="FO16" s="287"/>
      <c r="FP16" s="287"/>
      <c r="FQ16" s="287"/>
      <c r="FR16" s="287"/>
      <c r="FS16" s="287"/>
      <c r="FT16" s="287"/>
      <c r="FU16" s="287"/>
      <c r="FV16" s="287"/>
      <c r="FW16" s="287"/>
      <c r="FX16" s="287"/>
      <c r="FY16" s="287"/>
      <c r="FZ16" s="287"/>
      <c r="GA16" s="287"/>
      <c r="GB16" s="287"/>
      <c r="GC16" s="287"/>
      <c r="GD16" s="287"/>
      <c r="GE16" s="287"/>
      <c r="GF16" s="287"/>
      <c r="GG16" s="287"/>
      <c r="GH16" s="287"/>
      <c r="GI16" s="287"/>
      <c r="GJ16" s="287"/>
      <c r="GK16" s="287"/>
      <c r="GL16" s="287"/>
      <c r="GM16" s="287"/>
      <c r="GN16" s="287"/>
      <c r="GO16" s="287"/>
      <c r="GP16" s="287"/>
      <c r="GQ16" s="287"/>
      <c r="GR16" s="287"/>
      <c r="GS16" s="287"/>
      <c r="GT16" s="287"/>
      <c r="GU16" s="287"/>
      <c r="GV16" s="287"/>
      <c r="GW16" s="287"/>
      <c r="GX16" s="287"/>
      <c r="GY16" s="287"/>
      <c r="GZ16" s="287"/>
      <c r="HA16" s="287"/>
      <c r="HB16" s="287"/>
      <c r="HC16" s="287"/>
      <c r="HD16" s="287"/>
      <c r="HE16" s="287"/>
      <c r="HF16" s="287"/>
      <c r="HG16" s="287"/>
      <c r="HH16" s="287"/>
      <c r="HI16" s="287"/>
      <c r="HJ16" s="287"/>
      <c r="HK16" s="287"/>
      <c r="HL16" s="287"/>
      <c r="HM16" s="287"/>
      <c r="HN16" s="287"/>
      <c r="HO16" s="287"/>
      <c r="HP16" s="287"/>
      <c r="HQ16" s="287"/>
      <c r="HR16" s="287"/>
      <c r="HS16" s="287"/>
      <c r="HT16" s="287"/>
      <c r="HU16" s="287"/>
      <c r="HV16" s="287"/>
      <c r="HW16" s="287"/>
      <c r="HX16" s="287"/>
      <c r="HY16" s="287"/>
      <c r="HZ16" s="287"/>
      <c r="IA16" s="287"/>
      <c r="IB16" s="287"/>
      <c r="IC16" s="287"/>
      <c r="ID16" s="287"/>
      <c r="IE16" s="287"/>
      <c r="IF16" s="287"/>
      <c r="IG16" s="287"/>
      <c r="IH16" s="287"/>
    </row>
    <row r="17" spans="2:244" s="261" customFormat="1" ht="30" customHeight="1">
      <c r="B17" s="285" t="e">
        <f>RESUMO_Preços!#REF!</f>
        <v>#REF!</v>
      </c>
      <c r="C17" s="282" t="e">
        <f>RESUMO_Preços!#REF!</f>
        <v>#REF!</v>
      </c>
      <c r="D17" s="283">
        <f>4365.04*(1+3.8/100)*(1+3.79/100)</f>
        <v>4702.6330666080003</v>
      </c>
      <c r="E17" s="284"/>
      <c r="F17" s="283">
        <f>6279.49*(1+3.8/100)*(1+3.79/100)</f>
        <v>6765.1470124979996</v>
      </c>
      <c r="G17" s="286">
        <f>((4878.33+4878.33*61.1/100)*(1+24.41/100)+86045.84/109)</f>
        <v>10566.780374829799</v>
      </c>
      <c r="H17" s="286">
        <v>6849.8</v>
      </c>
      <c r="I17" s="313">
        <v>6942.02</v>
      </c>
      <c r="J17" s="284"/>
      <c r="K17" s="284"/>
      <c r="L17" s="313">
        <v>5922.23</v>
      </c>
      <c r="M17" s="313">
        <f>4974.35*(1+28.99/100)</f>
        <v>6416.4140649999999</v>
      </c>
      <c r="N17" s="313">
        <v>8068.92</v>
      </c>
      <c r="O17" s="313">
        <v>7380.49</v>
      </c>
      <c r="P17" s="313">
        <v>8613.4</v>
      </c>
      <c r="Q17" s="317">
        <f t="shared" si="1"/>
        <v>7222.7834518935797</v>
      </c>
      <c r="R17" s="318">
        <f t="shared" si="2"/>
        <v>6895.91</v>
      </c>
      <c r="S17" s="318">
        <f t="shared" si="3"/>
        <v>6895.91</v>
      </c>
      <c r="T17" s="319" t="e">
        <f t="shared" si="4"/>
        <v>#REF!</v>
      </c>
      <c r="U17" s="318">
        <f t="shared" si="5"/>
        <v>6958.1017423226303</v>
      </c>
      <c r="V17" s="319" t="e">
        <f t="shared" si="6"/>
        <v>#REF!</v>
      </c>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c r="AW17" s="287"/>
      <c r="AX17" s="287"/>
      <c r="AY17" s="287"/>
      <c r="AZ17" s="287"/>
      <c r="BA17" s="287"/>
      <c r="BB17" s="287"/>
      <c r="BC17" s="287"/>
      <c r="BD17" s="287"/>
      <c r="BE17" s="287"/>
      <c r="BF17" s="287"/>
      <c r="BG17" s="287"/>
      <c r="BH17" s="287"/>
      <c r="BI17" s="287"/>
      <c r="BJ17" s="287"/>
      <c r="BK17" s="287"/>
      <c r="BL17" s="287"/>
      <c r="BM17" s="287"/>
      <c r="BN17" s="287"/>
      <c r="BO17" s="287"/>
      <c r="BP17" s="287"/>
      <c r="BQ17" s="287"/>
      <c r="BR17" s="287"/>
      <c r="BS17" s="287"/>
      <c r="BT17" s="287"/>
      <c r="BU17" s="287"/>
      <c r="BV17" s="287"/>
      <c r="BW17" s="287"/>
      <c r="BX17" s="287"/>
      <c r="BY17" s="287"/>
      <c r="BZ17" s="287"/>
      <c r="CA17" s="287"/>
      <c r="CB17" s="287"/>
      <c r="CC17" s="287"/>
      <c r="CD17" s="287"/>
      <c r="CE17" s="287"/>
      <c r="CF17" s="287"/>
      <c r="CG17" s="287"/>
      <c r="CH17" s="287"/>
      <c r="CI17" s="287"/>
      <c r="CJ17" s="287"/>
      <c r="CK17" s="287"/>
      <c r="CL17" s="287"/>
      <c r="CM17" s="287"/>
      <c r="CN17" s="287"/>
      <c r="CO17" s="287"/>
      <c r="CP17" s="287"/>
      <c r="CQ17" s="287"/>
      <c r="CR17" s="287"/>
      <c r="CS17" s="287"/>
      <c r="CT17" s="287"/>
      <c r="CU17" s="287"/>
      <c r="CV17" s="287"/>
      <c r="CW17" s="287"/>
      <c r="CX17" s="287"/>
      <c r="CY17" s="287"/>
      <c r="CZ17" s="287"/>
      <c r="DA17" s="287"/>
      <c r="DB17" s="287"/>
      <c r="DC17" s="287"/>
      <c r="DD17" s="287"/>
      <c r="DE17" s="287"/>
      <c r="DF17" s="287"/>
      <c r="DG17" s="287"/>
      <c r="DH17" s="287"/>
      <c r="DI17" s="287"/>
      <c r="DJ17" s="287"/>
      <c r="DK17" s="287"/>
      <c r="DL17" s="287"/>
      <c r="DM17" s="287"/>
      <c r="DN17" s="287"/>
      <c r="DO17" s="287"/>
      <c r="DP17" s="287"/>
      <c r="DQ17" s="287"/>
      <c r="DR17" s="287"/>
      <c r="DS17" s="287"/>
      <c r="DT17" s="287"/>
      <c r="DU17" s="287"/>
      <c r="DV17" s="287"/>
      <c r="DW17" s="287"/>
      <c r="DX17" s="287"/>
      <c r="DY17" s="287"/>
      <c r="DZ17" s="287"/>
      <c r="EA17" s="287"/>
      <c r="EB17" s="287"/>
      <c r="EC17" s="287"/>
      <c r="ED17" s="287"/>
      <c r="EE17" s="287"/>
      <c r="EF17" s="287"/>
      <c r="EG17" s="287"/>
      <c r="EH17" s="287"/>
      <c r="EI17" s="287"/>
      <c r="EJ17" s="287"/>
      <c r="EK17" s="287"/>
      <c r="EL17" s="287"/>
      <c r="EM17" s="287"/>
      <c r="EN17" s="287"/>
      <c r="EO17" s="287"/>
      <c r="EP17" s="287"/>
      <c r="EQ17" s="287"/>
      <c r="ER17" s="287"/>
      <c r="ES17" s="287"/>
      <c r="ET17" s="287"/>
      <c r="EU17" s="287"/>
      <c r="EV17" s="287"/>
      <c r="EW17" s="287"/>
      <c r="EX17" s="287"/>
      <c r="EY17" s="287"/>
      <c r="EZ17" s="287"/>
      <c r="FA17" s="287"/>
      <c r="FB17" s="287"/>
      <c r="FC17" s="287"/>
      <c r="FD17" s="287"/>
      <c r="FE17" s="287"/>
      <c r="FF17" s="287"/>
      <c r="FG17" s="287"/>
      <c r="FH17" s="287"/>
      <c r="FI17" s="287"/>
      <c r="FJ17" s="287"/>
      <c r="FK17" s="287"/>
      <c r="FL17" s="287"/>
      <c r="FM17" s="287"/>
      <c r="FN17" s="287"/>
      <c r="FO17" s="287"/>
      <c r="FP17" s="287"/>
      <c r="FQ17" s="287"/>
      <c r="FR17" s="287"/>
      <c r="FS17" s="287"/>
      <c r="FT17" s="287"/>
      <c r="FU17" s="287"/>
      <c r="FV17" s="287"/>
      <c r="FW17" s="287"/>
      <c r="FX17" s="287"/>
      <c r="FY17" s="287"/>
      <c r="FZ17" s="287"/>
      <c r="GA17" s="287"/>
      <c r="GB17" s="287"/>
      <c r="GC17" s="287"/>
      <c r="GD17" s="287"/>
      <c r="GE17" s="287"/>
      <c r="GF17" s="287"/>
      <c r="GG17" s="287"/>
      <c r="GH17" s="287"/>
      <c r="GI17" s="287"/>
      <c r="GJ17" s="287"/>
      <c r="GK17" s="287"/>
      <c r="GL17" s="287"/>
      <c r="GM17" s="287"/>
      <c r="GN17" s="287"/>
      <c r="GO17" s="287"/>
      <c r="GP17" s="287"/>
      <c r="GQ17" s="287"/>
      <c r="GR17" s="287"/>
      <c r="GS17" s="287"/>
      <c r="GT17" s="287"/>
      <c r="GU17" s="287"/>
      <c r="GV17" s="287"/>
      <c r="GW17" s="287"/>
      <c r="GX17" s="287"/>
      <c r="GY17" s="287"/>
      <c r="GZ17" s="287"/>
      <c r="HA17" s="287"/>
      <c r="HB17" s="287"/>
      <c r="HC17" s="287"/>
      <c r="HD17" s="287"/>
      <c r="HE17" s="287"/>
      <c r="HF17" s="287"/>
      <c r="HG17" s="287"/>
      <c r="HH17" s="287"/>
      <c r="HI17" s="287"/>
      <c r="HJ17" s="287"/>
      <c r="HK17" s="287"/>
      <c r="HL17" s="287"/>
      <c r="HM17" s="287"/>
      <c r="HN17" s="287"/>
      <c r="HO17" s="287"/>
      <c r="HP17" s="287"/>
      <c r="HQ17" s="287"/>
      <c r="HR17" s="287"/>
      <c r="HS17" s="287"/>
      <c r="HT17" s="287"/>
      <c r="HU17" s="287"/>
      <c r="HV17" s="287"/>
      <c r="HW17" s="287"/>
      <c r="HX17" s="287"/>
      <c r="HY17" s="287"/>
      <c r="HZ17" s="287"/>
      <c r="IA17" s="287"/>
      <c r="IB17" s="287"/>
      <c r="IC17" s="287"/>
      <c r="ID17" s="287"/>
      <c r="IE17" s="287"/>
      <c r="IF17" s="287"/>
      <c r="IG17" s="287"/>
      <c r="IH17" s="287"/>
    </row>
    <row r="18" spans="2:244" s="261" customFormat="1" ht="30" customHeight="1">
      <c r="B18" s="281" t="e">
        <f>RESUMO_Preços!#REF!</f>
        <v>#REF!</v>
      </c>
      <c r="C18" s="282" t="e">
        <f>RESUMO_Preços!#REF!</f>
        <v>#REF!</v>
      </c>
      <c r="D18" s="283">
        <f>4441.6*(1+3.8/100)*(1+3.79/100)</f>
        <v>4785.1142323200002</v>
      </c>
      <c r="E18" s="283">
        <f>4750.07*(1+3.79/100)</f>
        <v>4930.0976529999998</v>
      </c>
      <c r="F18" s="283">
        <f>7049.3*(1+3.8/100)*(1+3.79/100)</f>
        <v>7594.4942718599996</v>
      </c>
      <c r="G18" s="284"/>
      <c r="H18" s="284"/>
      <c r="I18" s="313">
        <v>6835.23</v>
      </c>
      <c r="J18" s="284"/>
      <c r="K18" s="284"/>
      <c r="L18" s="313">
        <v>5195.6000000000004</v>
      </c>
      <c r="M18" s="313">
        <f>4542.22*(1+28.99/100)</f>
        <v>5859.0095780000001</v>
      </c>
      <c r="N18" s="313">
        <v>8285.81</v>
      </c>
      <c r="O18" s="313">
        <v>7601.35</v>
      </c>
      <c r="P18" s="313">
        <v>8839.2000000000007</v>
      </c>
      <c r="Q18" s="317">
        <f t="shared" si="1"/>
        <v>6658.4339705755601</v>
      </c>
      <c r="R18" s="318">
        <f t="shared" si="2"/>
        <v>6835.23</v>
      </c>
      <c r="S18" s="318">
        <f t="shared" si="3"/>
        <v>6658.4339705755601</v>
      </c>
      <c r="T18" s="319" t="e">
        <f t="shared" si="4"/>
        <v>#REF!</v>
      </c>
      <c r="U18" s="318">
        <f t="shared" si="5"/>
        <v>5868.1072314359999</v>
      </c>
      <c r="V18" s="319" t="e">
        <f t="shared" si="6"/>
        <v>#REF!</v>
      </c>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c r="AW18" s="287"/>
      <c r="AX18" s="287"/>
      <c r="AY18" s="287"/>
      <c r="AZ18" s="287"/>
      <c r="BA18" s="287"/>
      <c r="BB18" s="287"/>
      <c r="BC18" s="287"/>
      <c r="BD18" s="287"/>
      <c r="BE18" s="287"/>
      <c r="BF18" s="287"/>
      <c r="BG18" s="287"/>
      <c r="BH18" s="287"/>
      <c r="BI18" s="287"/>
      <c r="BJ18" s="287"/>
      <c r="BK18" s="287"/>
      <c r="BL18" s="287"/>
      <c r="BM18" s="287"/>
      <c r="BN18" s="287"/>
      <c r="BO18" s="287"/>
      <c r="BP18" s="287"/>
      <c r="BQ18" s="287"/>
      <c r="BR18" s="287"/>
      <c r="BS18" s="287"/>
      <c r="BT18" s="287"/>
      <c r="BU18" s="287"/>
      <c r="BV18" s="287"/>
      <c r="BW18" s="287"/>
      <c r="BX18" s="287"/>
      <c r="BY18" s="287"/>
      <c r="BZ18" s="287"/>
      <c r="CA18" s="287"/>
      <c r="CB18" s="287"/>
      <c r="CC18" s="287"/>
      <c r="CD18" s="287"/>
      <c r="CE18" s="287"/>
      <c r="CF18" s="287"/>
      <c r="CG18" s="287"/>
      <c r="CH18" s="287"/>
      <c r="CI18" s="287"/>
      <c r="CJ18" s="287"/>
      <c r="CK18" s="287"/>
      <c r="CL18" s="287"/>
      <c r="CM18" s="287"/>
      <c r="CN18" s="287"/>
      <c r="CO18" s="287"/>
      <c r="CP18" s="287"/>
      <c r="CQ18" s="287"/>
      <c r="CR18" s="287"/>
      <c r="CS18" s="287"/>
      <c r="CT18" s="287"/>
      <c r="CU18" s="287"/>
      <c r="CV18" s="287"/>
      <c r="CW18" s="287"/>
      <c r="CX18" s="287"/>
      <c r="CY18" s="287"/>
      <c r="CZ18" s="287"/>
      <c r="DA18" s="287"/>
      <c r="DB18" s="287"/>
      <c r="DC18" s="287"/>
      <c r="DD18" s="287"/>
      <c r="DE18" s="287"/>
      <c r="DF18" s="287"/>
      <c r="DG18" s="287"/>
      <c r="DH18" s="287"/>
      <c r="DI18" s="287"/>
      <c r="DJ18" s="287"/>
      <c r="DK18" s="287"/>
      <c r="DL18" s="287"/>
      <c r="DM18" s="287"/>
      <c r="DN18" s="287"/>
      <c r="DO18" s="287"/>
      <c r="DP18" s="287"/>
      <c r="DQ18" s="287"/>
      <c r="DR18" s="287"/>
      <c r="DS18" s="287"/>
      <c r="DT18" s="287"/>
      <c r="DU18" s="287"/>
      <c r="DV18" s="287"/>
      <c r="DW18" s="287"/>
      <c r="DX18" s="287"/>
      <c r="DY18" s="287"/>
      <c r="DZ18" s="287"/>
      <c r="EA18" s="287"/>
      <c r="EB18" s="287"/>
      <c r="EC18" s="287"/>
      <c r="ED18" s="287"/>
      <c r="EE18" s="287"/>
      <c r="EF18" s="287"/>
      <c r="EG18" s="287"/>
      <c r="EH18" s="287"/>
      <c r="EI18" s="287"/>
      <c r="EJ18" s="287"/>
      <c r="EK18" s="287"/>
      <c r="EL18" s="287"/>
      <c r="EM18" s="287"/>
      <c r="EN18" s="287"/>
      <c r="EO18" s="287"/>
      <c r="EP18" s="287"/>
      <c r="EQ18" s="287"/>
      <c r="ER18" s="287"/>
      <c r="ES18" s="287"/>
      <c r="ET18" s="287"/>
      <c r="EU18" s="287"/>
      <c r="EV18" s="287"/>
      <c r="EW18" s="287"/>
      <c r="EX18" s="287"/>
      <c r="EY18" s="287"/>
      <c r="EZ18" s="287"/>
      <c r="FA18" s="287"/>
      <c r="FB18" s="287"/>
      <c r="FC18" s="287"/>
      <c r="FD18" s="287"/>
      <c r="FE18" s="287"/>
      <c r="FF18" s="287"/>
      <c r="FG18" s="287"/>
      <c r="FH18" s="287"/>
      <c r="FI18" s="287"/>
      <c r="FJ18" s="287"/>
      <c r="FK18" s="287"/>
      <c r="FL18" s="287"/>
      <c r="FM18" s="287"/>
      <c r="FN18" s="287"/>
      <c r="FO18" s="287"/>
      <c r="FP18" s="287"/>
      <c r="FQ18" s="287"/>
      <c r="FR18" s="287"/>
      <c r="FS18" s="287"/>
      <c r="FT18" s="287"/>
      <c r="FU18" s="287"/>
      <c r="FV18" s="287"/>
      <c r="FW18" s="287"/>
      <c r="FX18" s="287"/>
      <c r="FY18" s="287"/>
      <c r="FZ18" s="287"/>
      <c r="GA18" s="287"/>
      <c r="GB18" s="287"/>
      <c r="GC18" s="287"/>
      <c r="GD18" s="287"/>
      <c r="GE18" s="287"/>
      <c r="GF18" s="287"/>
      <c r="GG18" s="287"/>
      <c r="GH18" s="287"/>
      <c r="GI18" s="287"/>
      <c r="GJ18" s="287"/>
      <c r="GK18" s="287"/>
      <c r="GL18" s="287"/>
      <c r="GM18" s="287"/>
      <c r="GN18" s="287"/>
      <c r="GO18" s="287"/>
      <c r="GP18" s="287"/>
      <c r="GQ18" s="287"/>
      <c r="GR18" s="287"/>
      <c r="GS18" s="287"/>
      <c r="GT18" s="287"/>
      <c r="GU18" s="287"/>
      <c r="GV18" s="287"/>
      <c r="GW18" s="287"/>
      <c r="GX18" s="287"/>
      <c r="GY18" s="287"/>
      <c r="GZ18" s="287"/>
      <c r="HA18" s="287"/>
      <c r="HB18" s="287"/>
      <c r="HC18" s="287"/>
      <c r="HD18" s="287"/>
      <c r="HE18" s="287"/>
      <c r="HF18" s="287"/>
      <c r="HG18" s="287"/>
      <c r="HH18" s="287"/>
      <c r="HI18" s="287"/>
      <c r="HJ18" s="287"/>
      <c r="HK18" s="287"/>
      <c r="HL18" s="287"/>
      <c r="HM18" s="287"/>
      <c r="HN18" s="287"/>
      <c r="HO18" s="287"/>
      <c r="HP18" s="287"/>
      <c r="HQ18" s="287"/>
      <c r="HR18" s="287"/>
      <c r="HS18" s="287"/>
      <c r="HT18" s="287"/>
      <c r="HU18" s="287"/>
      <c r="HV18" s="287"/>
      <c r="HW18" s="287"/>
      <c r="HX18" s="287"/>
      <c r="HY18" s="287"/>
      <c r="HZ18" s="287"/>
      <c r="IA18" s="287"/>
      <c r="IB18" s="287"/>
      <c r="IC18" s="287"/>
      <c r="ID18" s="287"/>
      <c r="IE18" s="287"/>
      <c r="IF18" s="287"/>
      <c r="IG18" s="287"/>
      <c r="IH18" s="287"/>
    </row>
    <row r="19" spans="2:244" s="261" customFormat="1" ht="30" customHeight="1">
      <c r="B19" s="281" t="e">
        <f>RESUMO_Preços!#REF!</f>
        <v>#REF!</v>
      </c>
      <c r="C19" s="282" t="e">
        <f>RESUMO_Preços!#REF!</f>
        <v>#REF!</v>
      </c>
      <c r="D19" s="286">
        <f>4441.6*(1+3.8/100)*(1+3.79/100)</f>
        <v>4785.1142323200002</v>
      </c>
      <c r="E19" s="284"/>
      <c r="F19" s="283">
        <f>4727.95*(1+3.8/100)*(1+3.79/100)</f>
        <v>5093.6105985900003</v>
      </c>
      <c r="G19" s="284"/>
      <c r="H19" s="284"/>
      <c r="I19" s="313">
        <v>6437.21</v>
      </c>
      <c r="J19" s="284"/>
      <c r="K19" s="284"/>
      <c r="L19" s="313">
        <v>4724.3100000000004</v>
      </c>
      <c r="M19" s="313">
        <f>4383.07*(1+28.99/100)</f>
        <v>5653.7219930000001</v>
      </c>
      <c r="N19" s="313">
        <v>8068.92</v>
      </c>
      <c r="O19" s="313">
        <v>7380.49</v>
      </c>
      <c r="P19" s="313">
        <v>8613.4</v>
      </c>
      <c r="Q19" s="317">
        <f t="shared" si="1"/>
        <v>6344.5971029887496</v>
      </c>
      <c r="R19" s="318">
        <f t="shared" si="2"/>
        <v>6045.4659965000001</v>
      </c>
      <c r="S19" s="318">
        <f t="shared" si="3"/>
        <v>6045.4659965000001</v>
      </c>
      <c r="T19" s="319" t="e">
        <f t="shared" si="4"/>
        <v>#REF!</v>
      </c>
      <c r="U19" s="318">
        <f t="shared" si="5"/>
        <v>5260.0612077275</v>
      </c>
      <c r="V19" s="320" t="e">
        <f t="shared" si="6"/>
        <v>#REF!</v>
      </c>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c r="AW19" s="287"/>
      <c r="AX19" s="287"/>
      <c r="AY19" s="287"/>
      <c r="AZ19" s="287"/>
      <c r="BA19" s="287"/>
      <c r="BB19" s="287"/>
      <c r="BC19" s="287"/>
      <c r="BD19" s="287"/>
      <c r="BE19" s="287"/>
      <c r="BF19" s="287"/>
      <c r="BG19" s="287"/>
      <c r="BH19" s="287"/>
      <c r="BI19" s="287"/>
      <c r="BJ19" s="287"/>
      <c r="BK19" s="287"/>
      <c r="BL19" s="287"/>
      <c r="BM19" s="287"/>
      <c r="BN19" s="287"/>
      <c r="BO19" s="287"/>
      <c r="BP19" s="287"/>
      <c r="BQ19" s="287"/>
      <c r="BR19" s="287"/>
      <c r="BS19" s="287"/>
      <c r="BT19" s="287"/>
      <c r="BU19" s="287"/>
      <c r="BV19" s="287"/>
      <c r="BW19" s="287"/>
      <c r="BX19" s="287"/>
      <c r="BY19" s="287"/>
      <c r="BZ19" s="287"/>
      <c r="CA19" s="287"/>
      <c r="CB19" s="287"/>
      <c r="CC19" s="287"/>
      <c r="CD19" s="287"/>
      <c r="CE19" s="287"/>
      <c r="CF19" s="287"/>
      <c r="CG19" s="287"/>
      <c r="CH19" s="287"/>
      <c r="CI19" s="287"/>
      <c r="CJ19" s="287"/>
      <c r="CK19" s="287"/>
      <c r="CL19" s="287"/>
      <c r="CM19" s="287"/>
      <c r="CN19" s="287"/>
      <c r="CO19" s="287"/>
      <c r="CP19" s="287"/>
      <c r="CQ19" s="287"/>
      <c r="CR19" s="287"/>
      <c r="CS19" s="287"/>
      <c r="CT19" s="287"/>
      <c r="CU19" s="287"/>
      <c r="CV19" s="287"/>
      <c r="CW19" s="287"/>
      <c r="CX19" s="287"/>
      <c r="CY19" s="287"/>
      <c r="CZ19" s="287"/>
      <c r="DA19" s="287"/>
      <c r="DB19" s="287"/>
      <c r="DC19" s="287"/>
      <c r="DD19" s="287"/>
      <c r="DE19" s="287"/>
      <c r="DF19" s="287"/>
      <c r="DG19" s="287"/>
      <c r="DH19" s="287"/>
      <c r="DI19" s="287"/>
      <c r="DJ19" s="287"/>
      <c r="DK19" s="287"/>
      <c r="DL19" s="287"/>
      <c r="DM19" s="287"/>
      <c r="DN19" s="287"/>
      <c r="DO19" s="287"/>
      <c r="DP19" s="287"/>
      <c r="DQ19" s="287"/>
      <c r="DR19" s="287"/>
      <c r="DS19" s="287"/>
      <c r="DT19" s="287"/>
      <c r="DU19" s="287"/>
      <c r="DV19" s="287"/>
      <c r="DW19" s="287"/>
      <c r="DX19" s="287"/>
      <c r="DY19" s="287"/>
      <c r="DZ19" s="287"/>
      <c r="EA19" s="287"/>
      <c r="EB19" s="287"/>
      <c r="EC19" s="287"/>
      <c r="ED19" s="287"/>
      <c r="EE19" s="287"/>
      <c r="EF19" s="287"/>
      <c r="EG19" s="287"/>
      <c r="EH19" s="287"/>
      <c r="EI19" s="287"/>
      <c r="EJ19" s="287"/>
      <c r="EK19" s="287"/>
      <c r="EL19" s="287"/>
      <c r="EM19" s="287"/>
      <c r="EN19" s="287"/>
      <c r="EO19" s="287"/>
      <c r="EP19" s="287"/>
      <c r="EQ19" s="287"/>
      <c r="ER19" s="287"/>
      <c r="ES19" s="287"/>
      <c r="ET19" s="287"/>
      <c r="EU19" s="287"/>
      <c r="EV19" s="287"/>
      <c r="EW19" s="287"/>
      <c r="EX19" s="287"/>
      <c r="EY19" s="287"/>
      <c r="EZ19" s="287"/>
      <c r="FA19" s="287"/>
      <c r="FB19" s="287"/>
      <c r="FC19" s="287"/>
      <c r="FD19" s="287"/>
      <c r="FE19" s="287"/>
      <c r="FF19" s="287"/>
      <c r="FG19" s="287"/>
      <c r="FH19" s="287"/>
      <c r="FI19" s="287"/>
      <c r="FJ19" s="287"/>
      <c r="FK19" s="287"/>
      <c r="FL19" s="287"/>
      <c r="FM19" s="287"/>
      <c r="FN19" s="287"/>
      <c r="FO19" s="287"/>
      <c r="FP19" s="287"/>
      <c r="FQ19" s="287"/>
      <c r="FR19" s="287"/>
      <c r="FS19" s="287"/>
      <c r="FT19" s="287"/>
      <c r="FU19" s="287"/>
      <c r="FV19" s="287"/>
      <c r="FW19" s="287"/>
      <c r="FX19" s="287"/>
      <c r="FY19" s="287"/>
      <c r="FZ19" s="287"/>
      <c r="GA19" s="287"/>
      <c r="GB19" s="287"/>
      <c r="GC19" s="287"/>
      <c r="GD19" s="287"/>
      <c r="GE19" s="287"/>
      <c r="GF19" s="287"/>
      <c r="GG19" s="287"/>
      <c r="GH19" s="287"/>
      <c r="GI19" s="287"/>
      <c r="GJ19" s="287"/>
      <c r="GK19" s="287"/>
      <c r="GL19" s="287"/>
      <c r="GM19" s="287"/>
      <c r="GN19" s="287"/>
      <c r="GO19" s="287"/>
      <c r="GP19" s="287"/>
      <c r="GQ19" s="287"/>
      <c r="GR19" s="287"/>
      <c r="GS19" s="287"/>
      <c r="GT19" s="287"/>
      <c r="GU19" s="287"/>
      <c r="GV19" s="287"/>
      <c r="GW19" s="287"/>
      <c r="GX19" s="287"/>
      <c r="GY19" s="287"/>
      <c r="GZ19" s="287"/>
      <c r="HA19" s="287"/>
      <c r="HB19" s="287"/>
      <c r="HC19" s="287"/>
      <c r="HD19" s="287"/>
      <c r="HE19" s="287"/>
      <c r="HF19" s="287"/>
      <c r="HG19" s="287"/>
      <c r="HH19" s="287"/>
      <c r="HI19" s="287"/>
      <c r="HJ19" s="287"/>
      <c r="HK19" s="287"/>
      <c r="HL19" s="287"/>
      <c r="HM19" s="287"/>
      <c r="HN19" s="287"/>
      <c r="HO19" s="287"/>
      <c r="HP19" s="287"/>
      <c r="HQ19" s="287"/>
      <c r="HR19" s="287"/>
      <c r="HS19" s="287"/>
      <c r="HT19" s="287"/>
      <c r="HU19" s="287"/>
      <c r="HV19" s="287"/>
      <c r="HW19" s="287"/>
      <c r="HX19" s="287"/>
      <c r="HY19" s="287"/>
      <c r="HZ19" s="287"/>
      <c r="IA19" s="287"/>
      <c r="IB19" s="287"/>
      <c r="IC19" s="287"/>
      <c r="ID19" s="287"/>
      <c r="IE19" s="287"/>
      <c r="IF19" s="287"/>
      <c r="IG19" s="287"/>
      <c r="IH19" s="287"/>
    </row>
    <row r="20" spans="2:244" s="261" customFormat="1" ht="30" customHeight="1">
      <c r="B20" s="281" t="e">
        <f>RESUMO_Preços!#REF!</f>
        <v>#REF!</v>
      </c>
      <c r="C20" s="282" t="e">
        <f>RESUMO_Preços!#REF!</f>
        <v>#REF!</v>
      </c>
      <c r="D20" s="286">
        <f>4441.6*(1+3.8/100)*(1+3.79/100)</f>
        <v>4785.1142323200002</v>
      </c>
      <c r="E20" s="284"/>
      <c r="F20" s="283">
        <f>4727.95*(1+3.8/100)*(1+3.79/100)</f>
        <v>5093.6105985900003</v>
      </c>
      <c r="G20" s="284"/>
      <c r="H20" s="284"/>
      <c r="I20" s="313">
        <v>6450.18</v>
      </c>
      <c r="J20" s="284"/>
      <c r="K20" s="284"/>
      <c r="L20" s="313">
        <v>4724.3100000000004</v>
      </c>
      <c r="M20" s="313">
        <f>4383.07*(1+28.99/100)</f>
        <v>5653.7219930000001</v>
      </c>
      <c r="N20" s="313">
        <v>8068.92</v>
      </c>
      <c r="O20" s="313">
        <v>7380.49</v>
      </c>
      <c r="P20" s="313">
        <v>8613.4</v>
      </c>
      <c r="Q20" s="317">
        <f t="shared" si="1"/>
        <v>6346.2183529887498</v>
      </c>
      <c r="R20" s="318">
        <f t="shared" si="2"/>
        <v>6051.9509964999997</v>
      </c>
      <c r="S20" s="318">
        <f t="shared" si="3"/>
        <v>6051.9509964999997</v>
      </c>
      <c r="T20" s="319" t="e">
        <f t="shared" si="4"/>
        <v>#REF!</v>
      </c>
      <c r="U20" s="318">
        <f t="shared" si="5"/>
        <v>5263.3037077275003</v>
      </c>
      <c r="V20" s="320" t="e">
        <f t="shared" si="6"/>
        <v>#REF!</v>
      </c>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c r="AW20" s="287"/>
      <c r="AX20" s="287"/>
      <c r="AY20" s="287"/>
      <c r="AZ20" s="287"/>
      <c r="BA20" s="287"/>
      <c r="BB20" s="287"/>
      <c r="BC20" s="287"/>
      <c r="BD20" s="287"/>
      <c r="BE20" s="287"/>
      <c r="BF20" s="287"/>
      <c r="BG20" s="287"/>
      <c r="BH20" s="287"/>
      <c r="BI20" s="287"/>
      <c r="BJ20" s="287"/>
      <c r="BK20" s="287"/>
      <c r="BL20" s="287"/>
      <c r="BM20" s="287"/>
      <c r="BN20" s="287"/>
      <c r="BO20" s="287"/>
      <c r="BP20" s="287"/>
      <c r="BQ20" s="287"/>
      <c r="BR20" s="287"/>
      <c r="BS20" s="287"/>
      <c r="BT20" s="287"/>
      <c r="BU20" s="287"/>
      <c r="BV20" s="287"/>
      <c r="BW20" s="287"/>
      <c r="BX20" s="287"/>
      <c r="BY20" s="287"/>
      <c r="BZ20" s="287"/>
      <c r="CA20" s="287"/>
      <c r="CB20" s="287"/>
      <c r="CC20" s="287"/>
      <c r="CD20" s="287"/>
      <c r="CE20" s="287"/>
      <c r="CF20" s="287"/>
      <c r="CG20" s="287"/>
      <c r="CH20" s="287"/>
      <c r="CI20" s="287"/>
      <c r="CJ20" s="287"/>
      <c r="CK20" s="287"/>
      <c r="CL20" s="287"/>
      <c r="CM20" s="287"/>
      <c r="CN20" s="287"/>
      <c r="CO20" s="287"/>
      <c r="CP20" s="287"/>
      <c r="CQ20" s="287"/>
      <c r="CR20" s="287"/>
      <c r="CS20" s="287"/>
      <c r="CT20" s="287"/>
      <c r="CU20" s="287"/>
      <c r="CV20" s="287"/>
      <c r="CW20" s="287"/>
      <c r="CX20" s="287"/>
      <c r="CY20" s="287"/>
      <c r="CZ20" s="287"/>
      <c r="DA20" s="287"/>
      <c r="DB20" s="287"/>
      <c r="DC20" s="287"/>
      <c r="DD20" s="287"/>
      <c r="DE20" s="287"/>
      <c r="DF20" s="287"/>
      <c r="DG20" s="287"/>
      <c r="DH20" s="287"/>
      <c r="DI20" s="287"/>
      <c r="DJ20" s="287"/>
      <c r="DK20" s="287"/>
      <c r="DL20" s="287"/>
      <c r="DM20" s="287"/>
      <c r="DN20" s="287"/>
      <c r="DO20" s="287"/>
      <c r="DP20" s="287"/>
      <c r="DQ20" s="287"/>
      <c r="DR20" s="287"/>
      <c r="DS20" s="287"/>
      <c r="DT20" s="287"/>
      <c r="DU20" s="287"/>
      <c r="DV20" s="287"/>
      <c r="DW20" s="287"/>
      <c r="DX20" s="287"/>
      <c r="DY20" s="287"/>
      <c r="DZ20" s="287"/>
      <c r="EA20" s="287"/>
      <c r="EB20" s="287"/>
      <c r="EC20" s="287"/>
      <c r="ED20" s="287"/>
      <c r="EE20" s="287"/>
      <c r="EF20" s="287"/>
      <c r="EG20" s="287"/>
      <c r="EH20" s="287"/>
      <c r="EI20" s="287"/>
      <c r="EJ20" s="287"/>
      <c r="EK20" s="287"/>
      <c r="EL20" s="287"/>
      <c r="EM20" s="287"/>
      <c r="EN20" s="287"/>
      <c r="EO20" s="287"/>
      <c r="EP20" s="287"/>
      <c r="EQ20" s="287"/>
      <c r="ER20" s="287"/>
      <c r="ES20" s="287"/>
      <c r="ET20" s="287"/>
      <c r="EU20" s="287"/>
      <c r="EV20" s="287"/>
      <c r="EW20" s="287"/>
      <c r="EX20" s="287"/>
      <c r="EY20" s="287"/>
      <c r="EZ20" s="287"/>
      <c r="FA20" s="287"/>
      <c r="FB20" s="287"/>
      <c r="FC20" s="287"/>
      <c r="FD20" s="287"/>
      <c r="FE20" s="287"/>
      <c r="FF20" s="287"/>
      <c r="FG20" s="287"/>
      <c r="FH20" s="287"/>
      <c r="FI20" s="287"/>
      <c r="FJ20" s="287"/>
      <c r="FK20" s="287"/>
      <c r="FL20" s="287"/>
      <c r="FM20" s="287"/>
      <c r="FN20" s="287"/>
      <c r="FO20" s="287"/>
      <c r="FP20" s="287"/>
      <c r="FQ20" s="287"/>
      <c r="FR20" s="287"/>
      <c r="FS20" s="287"/>
      <c r="FT20" s="287"/>
      <c r="FU20" s="287"/>
      <c r="FV20" s="287"/>
      <c r="FW20" s="287"/>
      <c r="FX20" s="287"/>
      <c r="FY20" s="287"/>
      <c r="FZ20" s="287"/>
      <c r="GA20" s="287"/>
      <c r="GB20" s="287"/>
      <c r="GC20" s="287"/>
      <c r="GD20" s="287"/>
      <c r="GE20" s="287"/>
      <c r="GF20" s="287"/>
      <c r="GG20" s="287"/>
      <c r="GH20" s="287"/>
      <c r="GI20" s="287"/>
      <c r="GJ20" s="287"/>
      <c r="GK20" s="287"/>
      <c r="GL20" s="287"/>
      <c r="GM20" s="287"/>
      <c r="GN20" s="287"/>
      <c r="GO20" s="287"/>
      <c r="GP20" s="287"/>
      <c r="GQ20" s="287"/>
      <c r="GR20" s="287"/>
      <c r="GS20" s="287"/>
      <c r="GT20" s="287"/>
      <c r="GU20" s="287"/>
      <c r="GV20" s="287"/>
      <c r="GW20" s="287"/>
      <c r="GX20" s="287"/>
      <c r="GY20" s="287"/>
      <c r="GZ20" s="287"/>
      <c r="HA20" s="287"/>
      <c r="HB20" s="287"/>
      <c r="HC20" s="287"/>
      <c r="HD20" s="287"/>
      <c r="HE20" s="287"/>
      <c r="HF20" s="287"/>
      <c r="HG20" s="287"/>
      <c r="HH20" s="287"/>
      <c r="HI20" s="287"/>
      <c r="HJ20" s="287"/>
      <c r="HK20" s="287"/>
      <c r="HL20" s="287"/>
      <c r="HM20" s="287"/>
      <c r="HN20" s="287"/>
      <c r="HO20" s="287"/>
      <c r="HP20" s="287"/>
      <c r="HQ20" s="287"/>
      <c r="HR20" s="287"/>
      <c r="HS20" s="287"/>
      <c r="HT20" s="287"/>
      <c r="HU20" s="287"/>
      <c r="HV20" s="287"/>
      <c r="HW20" s="287"/>
      <c r="HX20" s="287"/>
      <c r="HY20" s="287"/>
      <c r="HZ20" s="287"/>
      <c r="IA20" s="287"/>
      <c r="IB20" s="287"/>
      <c r="IC20" s="287"/>
      <c r="ID20" s="287"/>
      <c r="IE20" s="287"/>
      <c r="IF20" s="287"/>
      <c r="IG20" s="287"/>
      <c r="IH20" s="287"/>
    </row>
    <row r="21" spans="2:244" s="261" customFormat="1" ht="30" customHeight="1">
      <c r="B21" s="281" t="e">
        <f>RESUMO_Preços!#REF!</f>
        <v>#REF!</v>
      </c>
      <c r="C21" s="282" t="e">
        <f>RESUMO_Preços!#REF!</f>
        <v>#REF!</v>
      </c>
      <c r="D21" s="283">
        <f>5186*(1+3.8/100)*(1+3.79/100)</f>
        <v>5587.0862772</v>
      </c>
      <c r="E21" s="283">
        <f>4670.28*(1+3.79/100)</f>
        <v>4847.2836120000002</v>
      </c>
      <c r="F21" s="283">
        <f>5349.73*(1+3.8/100)*(1+3.79/100)</f>
        <v>5763.4791881459996</v>
      </c>
      <c r="G21" s="286">
        <f>((2131.59+2131.59*61.1/100)*(1+24.41/100)+86045.84/109)</f>
        <v>5061.6401888557903</v>
      </c>
      <c r="H21" s="284"/>
      <c r="I21" s="313">
        <v>7237.51</v>
      </c>
      <c r="J21" s="284"/>
      <c r="K21" s="284"/>
      <c r="L21" s="313">
        <v>5182.79</v>
      </c>
      <c r="M21" s="313">
        <f>4701.29*(1+28.99/100)</f>
        <v>6064.1939709999997</v>
      </c>
      <c r="N21" s="313">
        <v>8502.73</v>
      </c>
      <c r="O21" s="313">
        <v>7822.22</v>
      </c>
      <c r="P21" s="313">
        <v>9065.0300000000007</v>
      </c>
      <c r="Q21" s="317">
        <f t="shared" si="1"/>
        <v>6513.3963237201797</v>
      </c>
      <c r="R21" s="318">
        <f t="shared" si="2"/>
        <v>5913.8365795729997</v>
      </c>
      <c r="S21" s="318">
        <f t="shared" si="3"/>
        <v>5913.8365795729997</v>
      </c>
      <c r="T21" s="320" t="e">
        <f t="shared" si="4"/>
        <v>#REF!</v>
      </c>
      <c r="U21" s="318">
        <f t="shared" si="5"/>
        <v>5613.2982110336297</v>
      </c>
      <c r="V21" s="320" t="e">
        <f t="shared" si="6"/>
        <v>#REF!</v>
      </c>
      <c r="W21" s="287"/>
      <c r="X21" s="287"/>
      <c r="Y21" s="287"/>
      <c r="Z21" s="287"/>
      <c r="AA21" s="287"/>
      <c r="AB21" s="287"/>
      <c r="AC21" s="287"/>
      <c r="AD21" s="287"/>
      <c r="AE21" s="287"/>
      <c r="AF21" s="287"/>
      <c r="AG21" s="287"/>
      <c r="AH21" s="287"/>
      <c r="AI21" s="287"/>
      <c r="AJ21" s="287"/>
      <c r="AK21" s="287"/>
      <c r="AL21" s="287"/>
      <c r="AM21" s="287"/>
      <c r="AN21" s="287"/>
      <c r="AO21" s="287"/>
      <c r="AP21" s="287"/>
      <c r="AQ21" s="287"/>
      <c r="AR21" s="287"/>
      <c r="AS21" s="287"/>
      <c r="AT21" s="287"/>
      <c r="AU21" s="287"/>
      <c r="AV21" s="287"/>
      <c r="AW21" s="287"/>
      <c r="AX21" s="287"/>
      <c r="AY21" s="287"/>
      <c r="AZ21" s="287"/>
      <c r="BA21" s="287"/>
      <c r="BB21" s="287"/>
      <c r="BC21" s="287"/>
      <c r="BD21" s="287"/>
      <c r="BE21" s="287"/>
      <c r="BF21" s="287"/>
      <c r="BG21" s="287"/>
      <c r="BH21" s="287"/>
      <c r="BI21" s="287"/>
      <c r="BJ21" s="287"/>
      <c r="BK21" s="287"/>
      <c r="BL21" s="287"/>
      <c r="BM21" s="287"/>
      <c r="BN21" s="287"/>
      <c r="BO21" s="287"/>
      <c r="BP21" s="287"/>
      <c r="BQ21" s="287"/>
      <c r="BR21" s="287"/>
      <c r="BS21" s="287"/>
      <c r="BT21" s="287"/>
      <c r="BU21" s="287"/>
      <c r="BV21" s="287"/>
      <c r="BW21" s="287"/>
      <c r="BX21" s="287"/>
      <c r="BY21" s="287"/>
      <c r="BZ21" s="287"/>
      <c r="CA21" s="287"/>
      <c r="CB21" s="287"/>
      <c r="CC21" s="287"/>
      <c r="CD21" s="287"/>
      <c r="CE21" s="287"/>
      <c r="CF21" s="287"/>
      <c r="CG21" s="287"/>
      <c r="CH21" s="287"/>
      <c r="CI21" s="287"/>
      <c r="CJ21" s="287"/>
      <c r="CK21" s="287"/>
      <c r="CL21" s="287"/>
      <c r="CM21" s="287"/>
      <c r="CN21" s="287"/>
      <c r="CO21" s="287"/>
      <c r="CP21" s="287"/>
      <c r="CQ21" s="287"/>
      <c r="CR21" s="287"/>
      <c r="CS21" s="287"/>
      <c r="CT21" s="287"/>
      <c r="CU21" s="287"/>
      <c r="CV21" s="287"/>
      <c r="CW21" s="287"/>
      <c r="CX21" s="287"/>
      <c r="CY21" s="287"/>
      <c r="CZ21" s="287"/>
      <c r="DA21" s="287"/>
      <c r="DB21" s="287"/>
      <c r="DC21" s="287"/>
      <c r="DD21" s="287"/>
      <c r="DE21" s="287"/>
      <c r="DF21" s="287"/>
      <c r="DG21" s="287"/>
      <c r="DH21" s="287"/>
      <c r="DI21" s="287"/>
      <c r="DJ21" s="287"/>
      <c r="DK21" s="287"/>
      <c r="DL21" s="287"/>
      <c r="DM21" s="287"/>
      <c r="DN21" s="287"/>
      <c r="DO21" s="287"/>
      <c r="DP21" s="287"/>
      <c r="DQ21" s="287"/>
      <c r="DR21" s="287"/>
      <c r="DS21" s="287"/>
      <c r="DT21" s="287"/>
      <c r="DU21" s="287"/>
      <c r="DV21" s="287"/>
      <c r="DW21" s="287"/>
      <c r="DX21" s="287"/>
      <c r="DY21" s="287"/>
      <c r="DZ21" s="287"/>
      <c r="EA21" s="287"/>
      <c r="EB21" s="287"/>
      <c r="EC21" s="287"/>
      <c r="ED21" s="287"/>
      <c r="EE21" s="287"/>
      <c r="EF21" s="287"/>
      <c r="EG21" s="287"/>
      <c r="EH21" s="287"/>
      <c r="EI21" s="287"/>
      <c r="EJ21" s="287"/>
      <c r="EK21" s="287"/>
      <c r="EL21" s="287"/>
      <c r="EM21" s="287"/>
      <c r="EN21" s="287"/>
      <c r="EO21" s="287"/>
      <c r="EP21" s="287"/>
      <c r="EQ21" s="287"/>
      <c r="ER21" s="287"/>
      <c r="ES21" s="287"/>
      <c r="ET21" s="287"/>
      <c r="EU21" s="287"/>
      <c r="EV21" s="287"/>
      <c r="EW21" s="287"/>
      <c r="EX21" s="287"/>
      <c r="EY21" s="287"/>
      <c r="EZ21" s="287"/>
      <c r="FA21" s="287"/>
      <c r="FB21" s="287"/>
      <c r="FC21" s="287"/>
      <c r="FD21" s="287"/>
      <c r="FE21" s="287"/>
      <c r="FF21" s="287"/>
      <c r="FG21" s="287"/>
      <c r="FH21" s="287"/>
      <c r="FI21" s="287"/>
      <c r="FJ21" s="287"/>
      <c r="FK21" s="287"/>
      <c r="FL21" s="287"/>
      <c r="FM21" s="287"/>
      <c r="FN21" s="287"/>
      <c r="FO21" s="287"/>
      <c r="FP21" s="287"/>
      <c r="FQ21" s="287"/>
      <c r="FR21" s="287"/>
      <c r="FS21" s="287"/>
      <c r="FT21" s="287"/>
      <c r="FU21" s="287"/>
      <c r="FV21" s="287"/>
      <c r="FW21" s="287"/>
      <c r="FX21" s="287"/>
      <c r="FY21" s="287"/>
      <c r="FZ21" s="287"/>
      <c r="GA21" s="287"/>
      <c r="GB21" s="287"/>
      <c r="GC21" s="287"/>
      <c r="GD21" s="287"/>
      <c r="GE21" s="287"/>
      <c r="GF21" s="287"/>
      <c r="GG21" s="287"/>
      <c r="GH21" s="287"/>
      <c r="GI21" s="287"/>
      <c r="GJ21" s="287"/>
      <c r="GK21" s="287"/>
      <c r="GL21" s="287"/>
      <c r="GM21" s="287"/>
      <c r="GN21" s="287"/>
      <c r="GO21" s="287"/>
      <c r="GP21" s="287"/>
      <c r="GQ21" s="287"/>
      <c r="GR21" s="287"/>
      <c r="GS21" s="287"/>
      <c r="GT21" s="287"/>
      <c r="GU21" s="287"/>
      <c r="GV21" s="287"/>
      <c r="GW21" s="287"/>
      <c r="GX21" s="287"/>
      <c r="GY21" s="287"/>
      <c r="GZ21" s="287"/>
      <c r="HA21" s="287"/>
      <c r="HB21" s="287"/>
      <c r="HC21" s="287"/>
      <c r="HD21" s="287"/>
      <c r="HE21" s="287"/>
      <c r="HF21" s="287"/>
      <c r="HG21" s="287"/>
      <c r="HH21" s="287"/>
      <c r="HI21" s="287"/>
      <c r="HJ21" s="287"/>
      <c r="HK21" s="287"/>
      <c r="HL21" s="287"/>
      <c r="HM21" s="287"/>
      <c r="HN21" s="287"/>
      <c r="HO21" s="287"/>
      <c r="HP21" s="287"/>
      <c r="HQ21" s="287"/>
      <c r="HR21" s="287"/>
      <c r="HS21" s="287"/>
      <c r="HT21" s="287"/>
      <c r="HU21" s="287"/>
      <c r="HV21" s="287"/>
      <c r="HW21" s="287"/>
      <c r="HX21" s="287"/>
      <c r="HY21" s="287"/>
      <c r="HZ21" s="287"/>
      <c r="IA21" s="287"/>
      <c r="IB21" s="287"/>
      <c r="IC21" s="287"/>
      <c r="ID21" s="287"/>
      <c r="IE21" s="287"/>
      <c r="IF21" s="287"/>
      <c r="IG21" s="287"/>
      <c r="IH21" s="287"/>
    </row>
    <row r="22" spans="2:244" s="261" customFormat="1" ht="30" customHeight="1">
      <c r="B22" s="281" t="e">
        <f>RESUMO_Preços!#REF!</f>
        <v>#REF!</v>
      </c>
      <c r="C22" s="282" t="e">
        <f>RESUMO_Preços!#REF!</f>
        <v>#REF!</v>
      </c>
      <c r="D22" s="283">
        <f>5383.7*(1+3.8/100)*(1+3.79/100)</f>
        <v>5800.07643474</v>
      </c>
      <c r="E22" s="283">
        <f>5826.82*(1+3.79/100)</f>
        <v>6047.6564779999999</v>
      </c>
      <c r="F22" s="283">
        <f>4727.95*(1+3.8/100)*(1+3.79/100)</f>
        <v>5093.6105985900003</v>
      </c>
      <c r="G22" s="286">
        <f>((2180.52+2180.52*61.1/100)*(1+24.41/100)+86045.84/109)</f>
        <v>5159.7079015987902</v>
      </c>
      <c r="H22" s="284"/>
      <c r="I22" s="313">
        <v>8024.92</v>
      </c>
      <c r="J22" s="284"/>
      <c r="K22" s="313">
        <v>6453.24</v>
      </c>
      <c r="L22" s="313">
        <v>6175.92</v>
      </c>
      <c r="M22" s="313">
        <f>4774.48*(1+28.99/100)</f>
        <v>6158.6017519999996</v>
      </c>
      <c r="N22" s="313">
        <v>8875.1</v>
      </c>
      <c r="O22" s="313">
        <v>8092.62</v>
      </c>
      <c r="P22" s="313">
        <v>9480.41</v>
      </c>
      <c r="Q22" s="317">
        <f t="shared" si="1"/>
        <v>6851.0784695389802</v>
      </c>
      <c r="R22" s="318">
        <f t="shared" si="2"/>
        <v>6175.92</v>
      </c>
      <c r="S22" s="318">
        <f t="shared" si="3"/>
        <v>6175.92</v>
      </c>
      <c r="T22" s="320" t="e">
        <f t="shared" si="4"/>
        <v>#REF!</v>
      </c>
      <c r="U22" s="318">
        <f t="shared" si="5"/>
        <v>6107.8759161326798</v>
      </c>
      <c r="V22" s="320" t="e">
        <f t="shared" si="6"/>
        <v>#REF!</v>
      </c>
      <c r="W22" s="287"/>
      <c r="X22" s="287"/>
      <c r="Y22" s="287"/>
      <c r="Z22" s="287"/>
      <c r="AA22" s="287"/>
      <c r="AB22" s="287"/>
      <c r="AC22" s="287"/>
      <c r="AD22" s="287"/>
      <c r="AE22" s="287"/>
      <c r="AF22" s="287"/>
      <c r="AG22" s="287"/>
      <c r="AH22" s="287"/>
      <c r="AI22" s="287"/>
      <c r="AJ22" s="287"/>
      <c r="AK22" s="287"/>
      <c r="AL22" s="287"/>
      <c r="AM22" s="287"/>
      <c r="AN22" s="287"/>
      <c r="AO22" s="287"/>
      <c r="AP22" s="287"/>
      <c r="AQ22" s="287"/>
      <c r="AR22" s="287"/>
      <c r="AS22" s="287"/>
      <c r="AT22" s="287"/>
      <c r="AU22" s="287"/>
      <c r="AV22" s="287"/>
      <c r="AW22" s="287"/>
      <c r="AX22" s="287"/>
      <c r="AY22" s="287"/>
      <c r="AZ22" s="287"/>
      <c r="BA22" s="287"/>
      <c r="BB22" s="287"/>
      <c r="BC22" s="287"/>
      <c r="BD22" s="287"/>
      <c r="BE22" s="287"/>
      <c r="BF22" s="287"/>
      <c r="BG22" s="287"/>
      <c r="BH22" s="287"/>
      <c r="BI22" s="287"/>
      <c r="BJ22" s="287"/>
      <c r="BK22" s="287"/>
      <c r="BL22" s="287"/>
      <c r="BM22" s="287"/>
      <c r="BN22" s="287"/>
      <c r="BO22" s="287"/>
      <c r="BP22" s="287"/>
      <c r="BQ22" s="287"/>
      <c r="BR22" s="287"/>
      <c r="BS22" s="287"/>
      <c r="BT22" s="287"/>
      <c r="BU22" s="287"/>
      <c r="BV22" s="287"/>
      <c r="BW22" s="287"/>
      <c r="BX22" s="287"/>
      <c r="BY22" s="287"/>
      <c r="BZ22" s="287"/>
      <c r="CA22" s="287"/>
      <c r="CB22" s="287"/>
      <c r="CC22" s="287"/>
      <c r="CD22" s="287"/>
      <c r="CE22" s="287"/>
      <c r="CF22" s="287"/>
      <c r="CG22" s="287"/>
      <c r="CH22" s="287"/>
      <c r="CI22" s="287"/>
      <c r="CJ22" s="287"/>
      <c r="CK22" s="287"/>
      <c r="CL22" s="287"/>
      <c r="CM22" s="287"/>
      <c r="CN22" s="287"/>
      <c r="CO22" s="287"/>
      <c r="CP22" s="287"/>
      <c r="CQ22" s="287"/>
      <c r="CR22" s="287"/>
      <c r="CS22" s="287"/>
      <c r="CT22" s="287"/>
      <c r="CU22" s="287"/>
      <c r="CV22" s="287"/>
      <c r="CW22" s="287"/>
      <c r="CX22" s="287"/>
      <c r="CY22" s="287"/>
      <c r="CZ22" s="287"/>
      <c r="DA22" s="287"/>
      <c r="DB22" s="287"/>
      <c r="DC22" s="287"/>
      <c r="DD22" s="287"/>
      <c r="DE22" s="287"/>
      <c r="DF22" s="287"/>
      <c r="DG22" s="287"/>
      <c r="DH22" s="287"/>
      <c r="DI22" s="287"/>
      <c r="DJ22" s="287"/>
      <c r="DK22" s="287"/>
      <c r="DL22" s="287"/>
      <c r="DM22" s="287"/>
      <c r="DN22" s="287"/>
      <c r="DO22" s="287"/>
      <c r="DP22" s="287"/>
      <c r="DQ22" s="287"/>
      <c r="DR22" s="287"/>
      <c r="DS22" s="287"/>
      <c r="DT22" s="287"/>
      <c r="DU22" s="287"/>
      <c r="DV22" s="287"/>
      <c r="DW22" s="287"/>
      <c r="DX22" s="287"/>
      <c r="DY22" s="287"/>
      <c r="DZ22" s="287"/>
      <c r="EA22" s="287"/>
      <c r="EB22" s="287"/>
      <c r="EC22" s="287"/>
      <c r="ED22" s="287"/>
      <c r="EE22" s="287"/>
      <c r="EF22" s="287"/>
      <c r="EG22" s="287"/>
      <c r="EH22" s="287"/>
      <c r="EI22" s="287"/>
      <c r="EJ22" s="287"/>
      <c r="EK22" s="287"/>
      <c r="EL22" s="287"/>
      <c r="EM22" s="287"/>
      <c r="EN22" s="287"/>
      <c r="EO22" s="287"/>
      <c r="EP22" s="287"/>
      <c r="EQ22" s="287"/>
      <c r="ER22" s="287"/>
      <c r="ES22" s="287"/>
      <c r="ET22" s="287"/>
      <c r="EU22" s="287"/>
      <c r="EV22" s="287"/>
      <c r="EW22" s="287"/>
      <c r="EX22" s="287"/>
      <c r="EY22" s="287"/>
      <c r="EZ22" s="287"/>
      <c r="FA22" s="287"/>
      <c r="FB22" s="287"/>
      <c r="FC22" s="287"/>
      <c r="FD22" s="287"/>
      <c r="FE22" s="287"/>
      <c r="FF22" s="287"/>
      <c r="FG22" s="287"/>
      <c r="FH22" s="287"/>
      <c r="FI22" s="287"/>
      <c r="FJ22" s="287"/>
      <c r="FK22" s="287"/>
      <c r="FL22" s="287"/>
      <c r="FM22" s="287"/>
      <c r="FN22" s="287"/>
      <c r="FO22" s="287"/>
      <c r="FP22" s="287"/>
      <c r="FQ22" s="287"/>
      <c r="FR22" s="287"/>
      <c r="FS22" s="287"/>
      <c r="FT22" s="287"/>
      <c r="FU22" s="287"/>
      <c r="FV22" s="287"/>
      <c r="FW22" s="287"/>
      <c r="FX22" s="287"/>
      <c r="FY22" s="287"/>
      <c r="FZ22" s="287"/>
      <c r="GA22" s="287"/>
      <c r="GB22" s="287"/>
      <c r="GC22" s="287"/>
      <c r="GD22" s="287"/>
      <c r="GE22" s="287"/>
      <c r="GF22" s="287"/>
      <c r="GG22" s="287"/>
      <c r="GH22" s="287"/>
      <c r="GI22" s="287"/>
      <c r="GJ22" s="287"/>
      <c r="GK22" s="287"/>
      <c r="GL22" s="287"/>
      <c r="GM22" s="287"/>
      <c r="GN22" s="287"/>
      <c r="GO22" s="287"/>
      <c r="GP22" s="287"/>
      <c r="GQ22" s="287"/>
      <c r="GR22" s="287"/>
      <c r="GS22" s="287"/>
      <c r="GT22" s="287"/>
      <c r="GU22" s="287"/>
      <c r="GV22" s="287"/>
      <c r="GW22" s="287"/>
      <c r="GX22" s="287"/>
      <c r="GY22" s="287"/>
      <c r="GZ22" s="287"/>
      <c r="HA22" s="287"/>
      <c r="HB22" s="287"/>
      <c r="HC22" s="287"/>
      <c r="HD22" s="287"/>
      <c r="HE22" s="287"/>
      <c r="HF22" s="287"/>
      <c r="HG22" s="287"/>
      <c r="HH22" s="287"/>
      <c r="HI22" s="287"/>
      <c r="HJ22" s="287"/>
      <c r="HK22" s="287"/>
      <c r="HL22" s="287"/>
      <c r="HM22" s="287"/>
      <c r="HN22" s="287"/>
      <c r="HO22" s="287"/>
      <c r="HP22" s="287"/>
      <c r="HQ22" s="287"/>
      <c r="HR22" s="287"/>
      <c r="HS22" s="287"/>
      <c r="HT22" s="287"/>
      <c r="HU22" s="287"/>
      <c r="HV22" s="287"/>
      <c r="HW22" s="287"/>
      <c r="HX22" s="287"/>
      <c r="HY22" s="287"/>
      <c r="HZ22" s="287"/>
      <c r="IA22" s="287"/>
      <c r="IB22" s="287"/>
      <c r="IC22" s="287"/>
      <c r="ID22" s="287"/>
      <c r="IE22" s="287"/>
      <c r="IF22" s="287"/>
      <c r="IG22" s="287"/>
      <c r="IH22" s="287"/>
    </row>
    <row r="23" spans="2:244" s="261" customFormat="1" ht="30" customHeight="1">
      <c r="B23" s="285" t="e">
        <f>RESUMO_Preços!#REF!</f>
        <v>#REF!</v>
      </c>
      <c r="C23" s="282" t="e">
        <f>RESUMO_Preços!#REF!</f>
        <v>#REF!</v>
      </c>
      <c r="D23" s="283">
        <f>4401.8*(1+3.8/100)*(1+3.79/100)</f>
        <v>4742.2360923599999</v>
      </c>
      <c r="E23" s="286">
        <f>5026.97*(1+3.79/100)</f>
        <v>5217.4921629999999</v>
      </c>
      <c r="F23" s="283">
        <f>5997.72*(1+3.8/100)*(1+3.79/100)</f>
        <v>6461.5848643440004</v>
      </c>
      <c r="G23" s="284"/>
      <c r="H23" s="284"/>
      <c r="I23" s="313">
        <v>6366.77</v>
      </c>
      <c r="J23" s="284"/>
      <c r="K23" s="284"/>
      <c r="L23" s="313">
        <v>6021.93</v>
      </c>
      <c r="M23" s="313">
        <f>5672.48*(1+28.99/100)</f>
        <v>7316.9319519999999</v>
      </c>
      <c r="N23" s="313">
        <v>8395.01</v>
      </c>
      <c r="O23" s="313">
        <v>7712.54</v>
      </c>
      <c r="P23" s="313">
        <v>8952.9</v>
      </c>
      <c r="Q23" s="317">
        <f t="shared" si="1"/>
        <v>6798.5994524115604</v>
      </c>
      <c r="R23" s="318">
        <f t="shared" si="2"/>
        <v>6461.5848643440004</v>
      </c>
      <c r="S23" s="318">
        <f t="shared" si="3"/>
        <v>6461.5848643440004</v>
      </c>
      <c r="T23" s="320" t="e">
        <f t="shared" si="4"/>
        <v>#REF!</v>
      </c>
      <c r="U23" s="318">
        <f t="shared" si="5"/>
        <v>5762.0026239407998</v>
      </c>
      <c r="V23" s="320" t="e">
        <f t="shared" si="6"/>
        <v>#REF!</v>
      </c>
      <c r="W23" s="287"/>
      <c r="X23" s="287"/>
      <c r="Y23" s="287"/>
      <c r="Z23" s="287"/>
      <c r="AA23" s="287"/>
      <c r="AB23" s="287"/>
      <c r="AC23" s="287"/>
      <c r="AD23" s="287"/>
      <c r="AE23" s="287"/>
      <c r="AF23" s="287"/>
      <c r="AG23" s="287"/>
      <c r="AH23" s="287"/>
      <c r="AI23" s="287"/>
      <c r="AJ23" s="287"/>
      <c r="AK23" s="287"/>
      <c r="AL23" s="287"/>
      <c r="AM23" s="287"/>
      <c r="AN23" s="287"/>
      <c r="AO23" s="287"/>
      <c r="AP23" s="287"/>
      <c r="AQ23" s="287"/>
      <c r="AR23" s="287"/>
      <c r="AS23" s="287"/>
      <c r="AT23" s="287"/>
      <c r="AU23" s="287"/>
      <c r="AV23" s="287"/>
      <c r="AW23" s="287"/>
      <c r="AX23" s="287"/>
      <c r="AY23" s="287"/>
      <c r="AZ23" s="287"/>
      <c r="BA23" s="287"/>
      <c r="BB23" s="287"/>
      <c r="BC23" s="287"/>
      <c r="BD23" s="287"/>
      <c r="BE23" s="287"/>
      <c r="BF23" s="287"/>
      <c r="BG23" s="287"/>
      <c r="BH23" s="287"/>
      <c r="BI23" s="287"/>
      <c r="BJ23" s="287"/>
      <c r="BK23" s="287"/>
      <c r="BL23" s="287"/>
      <c r="BM23" s="287"/>
      <c r="BN23" s="287"/>
      <c r="BO23" s="287"/>
      <c r="BP23" s="287"/>
      <c r="BQ23" s="287"/>
      <c r="BR23" s="287"/>
      <c r="BS23" s="287"/>
      <c r="BT23" s="287"/>
      <c r="BU23" s="287"/>
      <c r="BV23" s="287"/>
      <c r="BW23" s="287"/>
      <c r="BX23" s="287"/>
      <c r="BY23" s="287"/>
      <c r="BZ23" s="287"/>
      <c r="CA23" s="287"/>
      <c r="CB23" s="287"/>
      <c r="CC23" s="287"/>
      <c r="CD23" s="287"/>
      <c r="CE23" s="287"/>
      <c r="CF23" s="287"/>
      <c r="CG23" s="287"/>
      <c r="CH23" s="287"/>
      <c r="CI23" s="287"/>
      <c r="CJ23" s="287"/>
      <c r="CK23" s="287"/>
      <c r="CL23" s="287"/>
      <c r="CM23" s="287"/>
      <c r="CN23" s="287"/>
      <c r="CO23" s="287"/>
      <c r="CP23" s="287"/>
      <c r="CQ23" s="287"/>
      <c r="CR23" s="287"/>
      <c r="CS23" s="287"/>
      <c r="CT23" s="287"/>
      <c r="CU23" s="287"/>
      <c r="CV23" s="287"/>
      <c r="CW23" s="287"/>
      <c r="CX23" s="287"/>
      <c r="CY23" s="287"/>
      <c r="CZ23" s="287"/>
      <c r="DA23" s="287"/>
      <c r="DB23" s="287"/>
      <c r="DC23" s="287"/>
      <c r="DD23" s="287"/>
      <c r="DE23" s="287"/>
      <c r="DF23" s="287"/>
      <c r="DG23" s="287"/>
      <c r="DH23" s="287"/>
      <c r="DI23" s="287"/>
      <c r="DJ23" s="287"/>
      <c r="DK23" s="287"/>
      <c r="DL23" s="287"/>
      <c r="DM23" s="287"/>
      <c r="DN23" s="287"/>
      <c r="DO23" s="287"/>
      <c r="DP23" s="287"/>
      <c r="DQ23" s="287"/>
      <c r="DR23" s="287"/>
      <c r="DS23" s="287"/>
      <c r="DT23" s="287"/>
      <c r="DU23" s="287"/>
      <c r="DV23" s="287"/>
      <c r="DW23" s="287"/>
      <c r="DX23" s="287"/>
      <c r="DY23" s="287"/>
      <c r="DZ23" s="287"/>
      <c r="EA23" s="287"/>
      <c r="EB23" s="287"/>
      <c r="EC23" s="287"/>
      <c r="ED23" s="287"/>
      <c r="EE23" s="287"/>
      <c r="EF23" s="287"/>
      <c r="EG23" s="287"/>
      <c r="EH23" s="287"/>
      <c r="EI23" s="287"/>
      <c r="EJ23" s="287"/>
      <c r="EK23" s="287"/>
      <c r="EL23" s="287"/>
      <c r="EM23" s="287"/>
      <c r="EN23" s="287"/>
      <c r="EO23" s="287"/>
      <c r="EP23" s="287"/>
      <c r="EQ23" s="287"/>
      <c r="ER23" s="287"/>
      <c r="ES23" s="287"/>
      <c r="ET23" s="287"/>
      <c r="EU23" s="287"/>
      <c r="EV23" s="287"/>
      <c r="EW23" s="287"/>
      <c r="EX23" s="287"/>
      <c r="EY23" s="287"/>
      <c r="EZ23" s="287"/>
      <c r="FA23" s="287"/>
      <c r="FB23" s="287"/>
      <c r="FC23" s="287"/>
      <c r="FD23" s="287"/>
      <c r="FE23" s="287"/>
      <c r="FF23" s="287"/>
      <c r="FG23" s="287"/>
      <c r="FH23" s="287"/>
      <c r="FI23" s="287"/>
      <c r="FJ23" s="287"/>
      <c r="FK23" s="287"/>
      <c r="FL23" s="287"/>
      <c r="FM23" s="287"/>
      <c r="FN23" s="287"/>
      <c r="FO23" s="287"/>
      <c r="FP23" s="287"/>
      <c r="FQ23" s="287"/>
      <c r="FR23" s="287"/>
      <c r="FS23" s="287"/>
      <c r="FT23" s="287"/>
      <c r="FU23" s="287"/>
      <c r="FV23" s="287"/>
      <c r="FW23" s="287"/>
      <c r="FX23" s="287"/>
      <c r="FY23" s="287"/>
      <c r="FZ23" s="287"/>
      <c r="GA23" s="287"/>
      <c r="GB23" s="287"/>
      <c r="GC23" s="287"/>
      <c r="GD23" s="287"/>
      <c r="GE23" s="287"/>
      <c r="GF23" s="287"/>
      <c r="GG23" s="287"/>
      <c r="GH23" s="287"/>
      <c r="GI23" s="287"/>
      <c r="GJ23" s="287"/>
      <c r="GK23" s="287"/>
      <c r="GL23" s="287"/>
      <c r="GM23" s="287"/>
      <c r="GN23" s="287"/>
      <c r="GO23" s="287"/>
      <c r="GP23" s="287"/>
      <c r="GQ23" s="287"/>
      <c r="GR23" s="287"/>
      <c r="GS23" s="287"/>
      <c r="GT23" s="287"/>
      <c r="GU23" s="287"/>
      <c r="GV23" s="287"/>
      <c r="GW23" s="287"/>
      <c r="GX23" s="287"/>
      <c r="GY23" s="287"/>
      <c r="GZ23" s="287"/>
      <c r="HA23" s="287"/>
      <c r="HB23" s="287"/>
      <c r="HC23" s="287"/>
      <c r="HD23" s="287"/>
      <c r="HE23" s="287"/>
      <c r="HF23" s="287"/>
      <c r="HG23" s="287"/>
      <c r="HH23" s="287"/>
      <c r="HI23" s="287"/>
      <c r="HJ23" s="287"/>
      <c r="HK23" s="287"/>
      <c r="HL23" s="287"/>
      <c r="HM23" s="287"/>
      <c r="HN23" s="287"/>
      <c r="HO23" s="287"/>
      <c r="HP23" s="287"/>
      <c r="HQ23" s="287"/>
      <c r="HR23" s="287"/>
      <c r="HS23" s="287"/>
      <c r="HT23" s="287"/>
      <c r="HU23" s="287"/>
      <c r="HV23" s="287"/>
      <c r="HW23" s="287"/>
      <c r="HX23" s="287"/>
      <c r="HY23" s="287"/>
      <c r="HZ23" s="287"/>
      <c r="IA23" s="287"/>
      <c r="IB23" s="287"/>
      <c r="IC23" s="287"/>
      <c r="ID23" s="287"/>
      <c r="IE23" s="287"/>
      <c r="IF23" s="287"/>
      <c r="IG23" s="287"/>
      <c r="IH23" s="287"/>
    </row>
    <row r="24" spans="2:244" s="261" customFormat="1" ht="30" customHeight="1">
      <c r="B24" s="281" t="e">
        <f>RESUMO_Preços!#REF!</f>
        <v>#REF!</v>
      </c>
      <c r="C24" s="282" t="e">
        <f>RESUMO_Preços!#REF!</f>
        <v>#REF!</v>
      </c>
      <c r="D24" s="283">
        <f>3191.4*(1+3.8/100)*(1+3.79/100)</f>
        <v>3438.22351428</v>
      </c>
      <c r="E24" s="284"/>
      <c r="F24" s="284"/>
      <c r="G24" s="286">
        <f>((1630.98+1630.98*61.1/100)*(1+24.41/100)+86045.84/109)</f>
        <v>4058.2950493447902</v>
      </c>
      <c r="H24" s="284"/>
      <c r="I24" s="284"/>
      <c r="J24" s="284"/>
      <c r="K24" s="284"/>
      <c r="L24" s="284"/>
      <c r="M24" s="313">
        <f>3532.76*(1+28.99/100)</f>
        <v>4556.9071240000003</v>
      </c>
      <c r="N24" s="313">
        <v>5631.37</v>
      </c>
      <c r="O24" s="313">
        <v>5829.98</v>
      </c>
      <c r="P24" s="313">
        <v>5798.95</v>
      </c>
      <c r="Q24" s="317">
        <f t="shared" si="1"/>
        <v>4885.6209479374602</v>
      </c>
      <c r="R24" s="318">
        <f t="shared" si="2"/>
        <v>5094.1385620000001</v>
      </c>
      <c r="S24" s="318">
        <f t="shared" si="3"/>
        <v>4885.6209479374602</v>
      </c>
      <c r="T24" s="319" t="e">
        <f t="shared" si="4"/>
        <v>#REF!</v>
      </c>
      <c r="U24" s="318">
        <f t="shared" si="5"/>
        <v>3748.2592818123899</v>
      </c>
      <c r="V24" s="320" t="e">
        <f t="shared" si="6"/>
        <v>#REF!</v>
      </c>
      <c r="W24" s="287"/>
      <c r="X24" s="287"/>
      <c r="Y24" s="287"/>
      <c r="Z24" s="287"/>
      <c r="AA24" s="287"/>
      <c r="AB24" s="287"/>
      <c r="AC24" s="287"/>
      <c r="AD24" s="287"/>
      <c r="AE24" s="287"/>
      <c r="AF24" s="287"/>
      <c r="AG24" s="287"/>
      <c r="AH24" s="287"/>
      <c r="AI24" s="287"/>
      <c r="AJ24" s="287"/>
      <c r="AK24" s="287"/>
      <c r="AL24" s="287"/>
      <c r="AM24" s="287"/>
      <c r="AN24" s="287"/>
      <c r="AO24" s="287"/>
      <c r="AP24" s="287"/>
      <c r="AQ24" s="287"/>
      <c r="AR24" s="287"/>
      <c r="AS24" s="287"/>
      <c r="AT24" s="287"/>
      <c r="AU24" s="287"/>
      <c r="AV24" s="287"/>
      <c r="AW24" s="287"/>
      <c r="AX24" s="287"/>
      <c r="AY24" s="287"/>
      <c r="AZ24" s="287"/>
      <c r="BA24" s="287"/>
      <c r="BB24" s="287"/>
      <c r="BC24" s="287"/>
      <c r="BD24" s="287"/>
      <c r="BE24" s="287"/>
      <c r="BF24" s="287"/>
      <c r="BG24" s="287"/>
      <c r="BH24" s="287"/>
      <c r="BI24" s="287"/>
      <c r="BJ24" s="287"/>
      <c r="BK24" s="287"/>
      <c r="BL24" s="287"/>
      <c r="BM24" s="287"/>
      <c r="BN24" s="287"/>
      <c r="BO24" s="287"/>
      <c r="BP24" s="287"/>
      <c r="BQ24" s="287"/>
      <c r="BR24" s="287"/>
      <c r="BS24" s="287"/>
      <c r="BT24" s="287"/>
      <c r="BU24" s="287"/>
      <c r="BV24" s="287"/>
      <c r="BW24" s="287"/>
      <c r="BX24" s="287"/>
      <c r="BY24" s="287"/>
      <c r="BZ24" s="287"/>
      <c r="CA24" s="287"/>
      <c r="CB24" s="287"/>
      <c r="CC24" s="287"/>
      <c r="CD24" s="287"/>
      <c r="CE24" s="287"/>
      <c r="CF24" s="287"/>
      <c r="CG24" s="287"/>
      <c r="CH24" s="287"/>
      <c r="CI24" s="287"/>
      <c r="CJ24" s="287"/>
      <c r="CK24" s="287"/>
      <c r="CL24" s="287"/>
      <c r="CM24" s="287"/>
      <c r="CN24" s="287"/>
      <c r="CO24" s="287"/>
      <c r="CP24" s="287"/>
      <c r="CQ24" s="287"/>
      <c r="CR24" s="287"/>
      <c r="CS24" s="287"/>
      <c r="CT24" s="287"/>
      <c r="CU24" s="287"/>
      <c r="CV24" s="287"/>
      <c r="CW24" s="287"/>
      <c r="CX24" s="287"/>
      <c r="CY24" s="287"/>
      <c r="CZ24" s="287"/>
      <c r="DA24" s="287"/>
      <c r="DB24" s="287"/>
      <c r="DC24" s="287"/>
      <c r="DD24" s="287"/>
      <c r="DE24" s="287"/>
      <c r="DF24" s="287"/>
      <c r="DG24" s="287"/>
      <c r="DH24" s="287"/>
      <c r="DI24" s="287"/>
      <c r="DJ24" s="287"/>
      <c r="DK24" s="287"/>
      <c r="DL24" s="287"/>
      <c r="DM24" s="287"/>
      <c r="DN24" s="287"/>
      <c r="DO24" s="287"/>
      <c r="DP24" s="287"/>
      <c r="DQ24" s="287"/>
      <c r="DR24" s="287"/>
      <c r="DS24" s="287"/>
      <c r="DT24" s="287"/>
      <c r="DU24" s="287"/>
      <c r="DV24" s="287"/>
      <c r="DW24" s="287"/>
      <c r="DX24" s="287"/>
      <c r="DY24" s="287"/>
      <c r="DZ24" s="287"/>
      <c r="EA24" s="287"/>
      <c r="EB24" s="287"/>
      <c r="EC24" s="287"/>
      <c r="ED24" s="287"/>
      <c r="EE24" s="287"/>
      <c r="EF24" s="287"/>
      <c r="EG24" s="287"/>
      <c r="EH24" s="287"/>
      <c r="EI24" s="287"/>
      <c r="EJ24" s="287"/>
      <c r="EK24" s="287"/>
      <c r="EL24" s="287"/>
      <c r="EM24" s="287"/>
      <c r="EN24" s="287"/>
      <c r="EO24" s="287"/>
      <c r="EP24" s="287"/>
      <c r="EQ24" s="287"/>
      <c r="ER24" s="287"/>
      <c r="ES24" s="287"/>
      <c r="ET24" s="287"/>
      <c r="EU24" s="287"/>
      <c r="EV24" s="287"/>
      <c r="EW24" s="287"/>
      <c r="EX24" s="287"/>
      <c r="EY24" s="287"/>
      <c r="EZ24" s="287"/>
      <c r="FA24" s="287"/>
      <c r="FB24" s="287"/>
      <c r="FC24" s="287"/>
      <c r="FD24" s="287"/>
      <c r="FE24" s="287"/>
      <c r="FF24" s="287"/>
      <c r="FG24" s="287"/>
      <c r="FH24" s="287"/>
      <c r="FI24" s="287"/>
      <c r="FJ24" s="287"/>
      <c r="FK24" s="287"/>
      <c r="FL24" s="287"/>
      <c r="FM24" s="287"/>
      <c r="FN24" s="287"/>
      <c r="FO24" s="287"/>
      <c r="FP24" s="287"/>
      <c r="FQ24" s="287"/>
      <c r="FR24" s="287"/>
      <c r="FS24" s="287"/>
      <c r="FT24" s="287"/>
      <c r="FU24" s="287"/>
      <c r="FV24" s="287"/>
      <c r="FW24" s="287"/>
      <c r="FX24" s="287"/>
      <c r="FY24" s="287"/>
      <c r="FZ24" s="287"/>
      <c r="GA24" s="287"/>
      <c r="GB24" s="287"/>
      <c r="GC24" s="287"/>
      <c r="GD24" s="287"/>
      <c r="GE24" s="287"/>
      <c r="GF24" s="287"/>
      <c r="GG24" s="287"/>
      <c r="GH24" s="287"/>
      <c r="GI24" s="287"/>
      <c r="GJ24" s="287"/>
      <c r="GK24" s="287"/>
      <c r="GL24" s="287"/>
      <c r="GM24" s="287"/>
      <c r="GN24" s="287"/>
      <c r="GO24" s="287"/>
      <c r="GP24" s="287"/>
      <c r="GQ24" s="287"/>
      <c r="GR24" s="287"/>
      <c r="GS24" s="287"/>
      <c r="GT24" s="287"/>
      <c r="GU24" s="287"/>
      <c r="GV24" s="287"/>
      <c r="GW24" s="287"/>
      <c r="GX24" s="287"/>
      <c r="GY24" s="287"/>
      <c r="GZ24" s="287"/>
      <c r="HA24" s="287"/>
      <c r="HB24" s="287"/>
      <c r="HC24" s="287"/>
      <c r="HD24" s="287"/>
      <c r="HE24" s="287"/>
      <c r="HF24" s="287"/>
      <c r="HG24" s="287"/>
      <c r="HH24" s="287"/>
      <c r="HI24" s="287"/>
      <c r="HJ24" s="287"/>
      <c r="HK24" s="287"/>
      <c r="HL24" s="287"/>
      <c r="HM24" s="287"/>
      <c r="HN24" s="287"/>
      <c r="HO24" s="287"/>
      <c r="HP24" s="287"/>
      <c r="HQ24" s="287"/>
      <c r="HR24" s="287"/>
      <c r="HS24" s="287"/>
      <c r="HT24" s="287"/>
      <c r="HU24" s="287"/>
      <c r="HV24" s="287"/>
      <c r="HW24" s="287"/>
      <c r="HX24" s="287"/>
      <c r="HY24" s="287"/>
      <c r="HZ24" s="287"/>
      <c r="IA24" s="287"/>
      <c r="IB24" s="287"/>
      <c r="IC24" s="287"/>
      <c r="ID24" s="287"/>
      <c r="IE24" s="287"/>
      <c r="IF24" s="287"/>
      <c r="IG24" s="287"/>
      <c r="IH24" s="287"/>
    </row>
    <row r="25" spans="2:244" s="261" customFormat="1" ht="30" customHeight="1">
      <c r="B25" s="281" t="e">
        <f>RESUMO_Preços!#REF!</f>
        <v>#REF!</v>
      </c>
      <c r="C25" s="282" t="e">
        <f>RESUMO_Preços!#REF!</f>
        <v>#REF!</v>
      </c>
      <c r="D25" s="283">
        <f>3191.4*(1+3.8/100)*(1+3.79/100)</f>
        <v>3438.22351428</v>
      </c>
      <c r="E25" s="284"/>
      <c r="F25" s="284"/>
      <c r="G25" s="286">
        <f>((1630.98+1630.98*61.1/100)*(1+24.41/100)+86045.84/109)</f>
        <v>4058.2950493447902</v>
      </c>
      <c r="H25" s="284"/>
      <c r="I25" s="313">
        <v>5243.58</v>
      </c>
      <c r="J25" s="284"/>
      <c r="K25" s="313">
        <v>4185.54</v>
      </c>
      <c r="L25" s="313">
        <v>3545.69</v>
      </c>
      <c r="M25" s="313">
        <f>3532.76*(1+28.99/100)</f>
        <v>4556.9071240000003</v>
      </c>
      <c r="N25" s="313">
        <v>5631.37</v>
      </c>
      <c r="O25" s="313">
        <v>5829.98</v>
      </c>
      <c r="P25" s="313">
        <v>5798.95</v>
      </c>
      <c r="Q25" s="317">
        <f t="shared" si="1"/>
        <v>4698.7261875138602</v>
      </c>
      <c r="R25" s="318">
        <f t="shared" si="2"/>
        <v>4556.9071240000003</v>
      </c>
      <c r="S25" s="318">
        <f t="shared" si="3"/>
        <v>4556.9071240000003</v>
      </c>
      <c r="T25" s="319" t="e">
        <f t="shared" si="4"/>
        <v>#REF!</v>
      </c>
      <c r="U25" s="318">
        <f t="shared" si="5"/>
        <v>4094.2657127249599</v>
      </c>
      <c r="V25" s="320" t="e">
        <f t="shared" si="6"/>
        <v>#REF!</v>
      </c>
      <c r="W25" s="287"/>
      <c r="X25" s="287"/>
      <c r="Y25" s="287"/>
      <c r="Z25" s="287"/>
      <c r="AA25" s="287"/>
      <c r="AB25" s="287"/>
      <c r="AC25" s="287"/>
      <c r="AD25" s="287"/>
      <c r="AE25" s="287"/>
      <c r="AF25" s="287"/>
      <c r="AG25" s="287"/>
      <c r="AH25" s="287"/>
      <c r="AI25" s="287"/>
      <c r="AJ25" s="287"/>
      <c r="AK25" s="287"/>
      <c r="AL25" s="287"/>
      <c r="AM25" s="287"/>
      <c r="AN25" s="287"/>
      <c r="AO25" s="287"/>
      <c r="AP25" s="287"/>
      <c r="AQ25" s="287"/>
      <c r="AR25" s="287"/>
      <c r="AS25" s="287"/>
      <c r="AT25" s="287"/>
      <c r="AU25" s="287"/>
      <c r="AV25" s="287"/>
      <c r="AW25" s="287"/>
      <c r="AX25" s="287"/>
      <c r="AY25" s="287"/>
      <c r="AZ25" s="287"/>
      <c r="BA25" s="287"/>
      <c r="BB25" s="287"/>
      <c r="BC25" s="287"/>
      <c r="BD25" s="287"/>
      <c r="BE25" s="287"/>
      <c r="BF25" s="287"/>
      <c r="BG25" s="287"/>
      <c r="BH25" s="287"/>
      <c r="BI25" s="287"/>
      <c r="BJ25" s="287"/>
      <c r="BK25" s="287"/>
      <c r="BL25" s="287"/>
      <c r="BM25" s="287"/>
      <c r="BN25" s="287"/>
      <c r="BO25" s="287"/>
      <c r="BP25" s="287"/>
      <c r="BQ25" s="287"/>
      <c r="BR25" s="287"/>
      <c r="BS25" s="287"/>
      <c r="BT25" s="287"/>
      <c r="BU25" s="287"/>
      <c r="BV25" s="287"/>
      <c r="BW25" s="287"/>
      <c r="BX25" s="287"/>
      <c r="BY25" s="287"/>
      <c r="BZ25" s="287"/>
      <c r="CA25" s="287"/>
      <c r="CB25" s="287"/>
      <c r="CC25" s="287"/>
      <c r="CD25" s="287"/>
      <c r="CE25" s="287"/>
      <c r="CF25" s="287"/>
      <c r="CG25" s="287"/>
      <c r="CH25" s="287"/>
      <c r="CI25" s="287"/>
      <c r="CJ25" s="287"/>
      <c r="CK25" s="287"/>
      <c r="CL25" s="287"/>
      <c r="CM25" s="287"/>
      <c r="CN25" s="287"/>
      <c r="CO25" s="287"/>
      <c r="CP25" s="287"/>
      <c r="CQ25" s="287"/>
      <c r="CR25" s="287"/>
      <c r="CS25" s="287"/>
      <c r="CT25" s="287"/>
      <c r="CU25" s="287"/>
      <c r="CV25" s="287"/>
      <c r="CW25" s="287"/>
      <c r="CX25" s="287"/>
      <c r="CY25" s="287"/>
      <c r="CZ25" s="287"/>
      <c r="DA25" s="287"/>
      <c r="DB25" s="287"/>
      <c r="DC25" s="287"/>
      <c r="DD25" s="287"/>
      <c r="DE25" s="287"/>
      <c r="DF25" s="287"/>
      <c r="DG25" s="287"/>
      <c r="DH25" s="287"/>
      <c r="DI25" s="287"/>
      <c r="DJ25" s="287"/>
      <c r="DK25" s="287"/>
      <c r="DL25" s="287"/>
      <c r="DM25" s="287"/>
      <c r="DN25" s="287"/>
      <c r="DO25" s="287"/>
      <c r="DP25" s="287"/>
      <c r="DQ25" s="287"/>
      <c r="DR25" s="287"/>
      <c r="DS25" s="287"/>
      <c r="DT25" s="287"/>
      <c r="DU25" s="287"/>
      <c r="DV25" s="287"/>
      <c r="DW25" s="287"/>
      <c r="DX25" s="287"/>
      <c r="DY25" s="287"/>
      <c r="DZ25" s="287"/>
      <c r="EA25" s="287"/>
      <c r="EB25" s="287"/>
      <c r="EC25" s="287"/>
      <c r="ED25" s="287"/>
      <c r="EE25" s="287"/>
      <c r="EF25" s="287"/>
      <c r="EG25" s="287"/>
      <c r="EH25" s="287"/>
      <c r="EI25" s="287"/>
      <c r="EJ25" s="287"/>
      <c r="EK25" s="287"/>
      <c r="EL25" s="287"/>
      <c r="EM25" s="287"/>
      <c r="EN25" s="287"/>
      <c r="EO25" s="287"/>
      <c r="EP25" s="287"/>
      <c r="EQ25" s="287"/>
      <c r="ER25" s="287"/>
      <c r="ES25" s="287"/>
      <c r="ET25" s="287"/>
      <c r="EU25" s="287"/>
      <c r="EV25" s="287"/>
      <c r="EW25" s="287"/>
      <c r="EX25" s="287"/>
      <c r="EY25" s="287"/>
      <c r="EZ25" s="287"/>
      <c r="FA25" s="287"/>
      <c r="FB25" s="287"/>
      <c r="FC25" s="287"/>
      <c r="FD25" s="287"/>
      <c r="FE25" s="287"/>
      <c r="FF25" s="287"/>
      <c r="FG25" s="287"/>
      <c r="FH25" s="287"/>
      <c r="FI25" s="287"/>
      <c r="FJ25" s="287"/>
      <c r="FK25" s="287"/>
      <c r="FL25" s="287"/>
      <c r="FM25" s="287"/>
      <c r="FN25" s="287"/>
      <c r="FO25" s="287"/>
      <c r="FP25" s="287"/>
      <c r="FQ25" s="287"/>
      <c r="FR25" s="287"/>
      <c r="FS25" s="287"/>
      <c r="FT25" s="287"/>
      <c r="FU25" s="287"/>
      <c r="FV25" s="287"/>
      <c r="FW25" s="287"/>
      <c r="FX25" s="287"/>
      <c r="FY25" s="287"/>
      <c r="FZ25" s="287"/>
      <c r="GA25" s="287"/>
      <c r="GB25" s="287"/>
      <c r="GC25" s="287"/>
      <c r="GD25" s="287"/>
      <c r="GE25" s="287"/>
      <c r="GF25" s="287"/>
      <c r="GG25" s="287"/>
      <c r="GH25" s="287"/>
      <c r="GI25" s="287"/>
      <c r="GJ25" s="287"/>
      <c r="GK25" s="287"/>
      <c r="GL25" s="287"/>
      <c r="GM25" s="287"/>
      <c r="GN25" s="287"/>
      <c r="GO25" s="287"/>
      <c r="GP25" s="287"/>
      <c r="GQ25" s="287"/>
      <c r="GR25" s="287"/>
      <c r="GS25" s="287"/>
      <c r="GT25" s="287"/>
      <c r="GU25" s="287"/>
      <c r="GV25" s="287"/>
      <c r="GW25" s="287"/>
      <c r="GX25" s="287"/>
      <c r="GY25" s="287"/>
      <c r="GZ25" s="287"/>
      <c r="HA25" s="287"/>
      <c r="HB25" s="287"/>
      <c r="HC25" s="287"/>
      <c r="HD25" s="287"/>
      <c r="HE25" s="287"/>
      <c r="HF25" s="287"/>
      <c r="HG25" s="287"/>
      <c r="HH25" s="287"/>
      <c r="HI25" s="287"/>
      <c r="HJ25" s="287"/>
      <c r="HK25" s="287"/>
      <c r="HL25" s="287"/>
      <c r="HM25" s="287"/>
      <c r="HN25" s="287"/>
      <c r="HO25" s="287"/>
      <c r="HP25" s="287"/>
      <c r="HQ25" s="287"/>
      <c r="HR25" s="287"/>
      <c r="HS25" s="287"/>
      <c r="HT25" s="287"/>
      <c r="HU25" s="287"/>
      <c r="HV25" s="287"/>
      <c r="HW25" s="287"/>
      <c r="HX25" s="287"/>
      <c r="HY25" s="287"/>
      <c r="HZ25" s="287"/>
      <c r="IA25" s="287"/>
      <c r="IB25" s="287"/>
      <c r="IC25" s="287"/>
      <c r="ID25" s="287"/>
      <c r="IE25" s="287"/>
      <c r="IF25" s="287"/>
      <c r="IG25" s="287"/>
      <c r="IH25" s="287"/>
    </row>
    <row r="26" spans="2:244" s="261" customFormat="1" ht="33" customHeight="1">
      <c r="B26" s="281" t="e">
        <f>RESUMO_Preços!#REF!</f>
        <v>#REF!</v>
      </c>
      <c r="C26" s="282" t="e">
        <f>RESUMO_Preços!#REF!</f>
        <v>#REF!</v>
      </c>
      <c r="D26" s="283">
        <f>4441.6*(1+3.8/100)*(1+3.79/100)</f>
        <v>4785.1142323200002</v>
      </c>
      <c r="E26" s="284"/>
      <c r="F26" s="284"/>
      <c r="G26" s="284"/>
      <c r="H26" s="284"/>
      <c r="I26" s="313">
        <v>5672.61</v>
      </c>
      <c r="J26" s="313">
        <v>5353.39</v>
      </c>
      <c r="K26" s="284"/>
      <c r="L26" s="284"/>
      <c r="M26" s="313">
        <f>4383.07*(1+28.99/100)</f>
        <v>5653.7219930000001</v>
      </c>
      <c r="N26" s="313">
        <v>8068.92</v>
      </c>
      <c r="O26" s="313">
        <v>7380.49</v>
      </c>
      <c r="P26" s="313">
        <v>8613.4</v>
      </c>
      <c r="Q26" s="317">
        <f t="shared" si="1"/>
        <v>6503.94946076</v>
      </c>
      <c r="R26" s="318">
        <f t="shared" si="2"/>
        <v>5672.61</v>
      </c>
      <c r="S26" s="318">
        <f t="shared" ref="S26" si="7">SMALL(Q26:R26,1)</f>
        <v>5672.61</v>
      </c>
      <c r="T26" s="319" t="e">
        <f t="shared" ref="T26" si="8">C26-S26</f>
        <v>#REF!</v>
      </c>
      <c r="U26" s="318">
        <f t="shared" si="5"/>
        <v>5270.3714107733304</v>
      </c>
      <c r="V26" s="320" t="e">
        <f t="shared" si="6"/>
        <v>#REF!</v>
      </c>
      <c r="W26" s="287"/>
      <c r="X26" s="287"/>
      <c r="Y26" s="287"/>
      <c r="Z26" s="287"/>
      <c r="AA26" s="287"/>
      <c r="AB26" s="287"/>
      <c r="AC26" s="287"/>
      <c r="AD26" s="287"/>
      <c r="AE26" s="287"/>
      <c r="AF26" s="287"/>
      <c r="AG26" s="287"/>
      <c r="AH26" s="287"/>
      <c r="AI26" s="287"/>
      <c r="AJ26" s="287"/>
      <c r="AK26" s="287"/>
      <c r="AL26" s="287"/>
      <c r="AM26" s="287"/>
      <c r="AN26" s="287"/>
      <c r="AO26" s="287"/>
      <c r="AP26" s="287"/>
      <c r="AQ26" s="287"/>
      <c r="AR26" s="287"/>
      <c r="AS26" s="287"/>
      <c r="AT26" s="287"/>
      <c r="AU26" s="287"/>
      <c r="AV26" s="287"/>
      <c r="AW26" s="287"/>
      <c r="AX26" s="287"/>
      <c r="AY26" s="287"/>
      <c r="AZ26" s="287"/>
      <c r="BA26" s="287"/>
      <c r="BB26" s="287"/>
      <c r="BC26" s="287"/>
      <c r="BD26" s="287"/>
      <c r="BE26" s="287"/>
      <c r="BF26" s="287"/>
      <c r="BG26" s="287"/>
      <c r="BH26" s="287"/>
      <c r="BI26" s="287"/>
      <c r="BJ26" s="287"/>
      <c r="BK26" s="287"/>
      <c r="BL26" s="287"/>
      <c r="BM26" s="287"/>
      <c r="BN26" s="287"/>
      <c r="BO26" s="287"/>
      <c r="BP26" s="287"/>
      <c r="BQ26" s="287"/>
      <c r="BR26" s="287"/>
      <c r="BS26" s="287"/>
      <c r="BT26" s="287"/>
      <c r="BU26" s="287"/>
      <c r="BV26" s="287"/>
      <c r="BW26" s="287"/>
      <c r="BX26" s="287"/>
      <c r="BY26" s="287"/>
      <c r="BZ26" s="287"/>
      <c r="CA26" s="287"/>
      <c r="CB26" s="287"/>
      <c r="CC26" s="287"/>
      <c r="CD26" s="287"/>
      <c r="CE26" s="287"/>
      <c r="CF26" s="287"/>
      <c r="CG26" s="287"/>
      <c r="CH26" s="287"/>
      <c r="CI26" s="287"/>
      <c r="CJ26" s="287"/>
      <c r="CK26" s="287"/>
      <c r="CL26" s="287"/>
      <c r="CM26" s="287"/>
      <c r="CN26" s="287"/>
      <c r="CO26" s="287"/>
      <c r="CP26" s="287"/>
      <c r="CQ26" s="287"/>
      <c r="CR26" s="287"/>
      <c r="CS26" s="287"/>
      <c r="CT26" s="287"/>
      <c r="CU26" s="287"/>
      <c r="CV26" s="287"/>
      <c r="CW26" s="287"/>
      <c r="CX26" s="287"/>
      <c r="CY26" s="287"/>
      <c r="CZ26" s="287"/>
      <c r="DA26" s="287"/>
      <c r="DB26" s="287"/>
      <c r="DC26" s="287"/>
      <c r="DD26" s="287"/>
      <c r="DE26" s="287"/>
      <c r="DF26" s="287"/>
      <c r="DG26" s="287"/>
      <c r="DH26" s="287"/>
      <c r="DI26" s="287"/>
      <c r="DJ26" s="287"/>
      <c r="DK26" s="287"/>
      <c r="DL26" s="287"/>
      <c r="DM26" s="287"/>
      <c r="DN26" s="287"/>
      <c r="DO26" s="287"/>
      <c r="DP26" s="287"/>
      <c r="DQ26" s="287"/>
      <c r="DR26" s="287"/>
      <c r="DS26" s="287"/>
      <c r="DT26" s="287"/>
      <c r="DU26" s="287"/>
      <c r="DV26" s="287"/>
      <c r="DW26" s="287"/>
      <c r="DX26" s="287"/>
      <c r="DY26" s="287"/>
      <c r="DZ26" s="287"/>
      <c r="EA26" s="287"/>
      <c r="EB26" s="287"/>
      <c r="EC26" s="287"/>
      <c r="ED26" s="287"/>
      <c r="EE26" s="287"/>
      <c r="EF26" s="287"/>
      <c r="EG26" s="287"/>
      <c r="EH26" s="287"/>
      <c r="EI26" s="287"/>
      <c r="EJ26" s="287"/>
      <c r="EK26" s="287"/>
      <c r="EL26" s="287"/>
      <c r="EM26" s="287"/>
      <c r="EN26" s="287"/>
      <c r="EO26" s="287"/>
      <c r="EP26" s="287"/>
      <c r="EQ26" s="287"/>
      <c r="ER26" s="287"/>
      <c r="ES26" s="287"/>
      <c r="ET26" s="287"/>
      <c r="EU26" s="287"/>
      <c r="EV26" s="287"/>
      <c r="EW26" s="287"/>
      <c r="EX26" s="287"/>
      <c r="EY26" s="287"/>
      <c r="EZ26" s="287"/>
      <c r="FA26" s="287"/>
      <c r="FB26" s="287"/>
      <c r="FC26" s="287"/>
      <c r="FD26" s="287"/>
      <c r="FE26" s="287"/>
      <c r="FF26" s="287"/>
      <c r="FG26" s="287"/>
      <c r="FH26" s="287"/>
      <c r="FI26" s="287"/>
      <c r="FJ26" s="287"/>
      <c r="FK26" s="287"/>
      <c r="FL26" s="287"/>
      <c r="FM26" s="287"/>
      <c r="FN26" s="287"/>
      <c r="FO26" s="287"/>
      <c r="FP26" s="287"/>
      <c r="FQ26" s="287"/>
      <c r="FR26" s="287"/>
      <c r="FS26" s="287"/>
      <c r="FT26" s="287"/>
      <c r="FU26" s="287"/>
      <c r="FV26" s="287"/>
      <c r="FW26" s="287"/>
      <c r="FX26" s="287"/>
      <c r="FY26" s="287"/>
      <c r="FZ26" s="287"/>
      <c r="GA26" s="287"/>
      <c r="GB26" s="287"/>
      <c r="GC26" s="287"/>
      <c r="GD26" s="287"/>
      <c r="GE26" s="287"/>
      <c r="GF26" s="287"/>
      <c r="GG26" s="287"/>
      <c r="GH26" s="287"/>
      <c r="GI26" s="287"/>
      <c r="GJ26" s="287"/>
      <c r="GK26" s="287"/>
      <c r="GL26" s="287"/>
      <c r="GM26" s="287"/>
      <c r="GN26" s="287"/>
      <c r="GO26" s="287"/>
      <c r="GP26" s="287"/>
      <c r="GQ26" s="287"/>
      <c r="GR26" s="287"/>
      <c r="GS26" s="287"/>
      <c r="GT26" s="287"/>
      <c r="GU26" s="287"/>
      <c r="GV26" s="287"/>
      <c r="GW26" s="287"/>
      <c r="GX26" s="287"/>
      <c r="GY26" s="287"/>
      <c r="GZ26" s="287"/>
      <c r="HA26" s="287"/>
      <c r="HB26" s="287"/>
      <c r="HC26" s="287"/>
      <c r="HD26" s="287"/>
      <c r="HE26" s="287"/>
      <c r="HF26" s="287"/>
      <c r="HG26" s="287"/>
      <c r="HH26" s="287"/>
      <c r="HI26" s="287"/>
      <c r="HJ26" s="287"/>
      <c r="HK26" s="287"/>
      <c r="HL26" s="287"/>
      <c r="HM26" s="287"/>
      <c r="HN26" s="287"/>
      <c r="HO26" s="287"/>
      <c r="HP26" s="287"/>
      <c r="HQ26" s="287"/>
      <c r="HR26" s="287"/>
      <c r="HS26" s="287"/>
      <c r="HT26" s="287"/>
      <c r="HU26" s="287"/>
      <c r="HV26" s="287"/>
      <c r="HW26" s="287"/>
      <c r="HX26" s="287"/>
      <c r="HY26" s="287"/>
      <c r="HZ26" s="287"/>
      <c r="IA26" s="287"/>
      <c r="IB26" s="287"/>
      <c r="IC26" s="287"/>
      <c r="ID26" s="287"/>
      <c r="IE26" s="287"/>
      <c r="IF26" s="287"/>
      <c r="IG26" s="287"/>
      <c r="IH26" s="287"/>
      <c r="II26" s="287"/>
      <c r="IJ26" s="287"/>
    </row>
    <row r="27" spans="2:244" s="261" customFormat="1">
      <c r="B27" s="287"/>
      <c r="C27" s="288"/>
      <c r="D27" s="287"/>
      <c r="E27" s="287"/>
      <c r="F27" s="287"/>
      <c r="G27" s="287"/>
      <c r="H27" s="287"/>
      <c r="I27" s="287"/>
      <c r="J27" s="287"/>
      <c r="K27" s="287"/>
      <c r="L27" s="287"/>
      <c r="M27" s="287"/>
      <c r="N27" s="287"/>
      <c r="O27" s="287"/>
      <c r="P27" s="287"/>
      <c r="Q27" s="287"/>
      <c r="R27" s="287"/>
      <c r="S27" s="287"/>
      <c r="T27" s="287"/>
      <c r="U27" s="288"/>
      <c r="V27" s="287"/>
      <c r="W27" s="287"/>
      <c r="X27" s="287"/>
      <c r="Y27" s="287"/>
      <c r="Z27" s="287"/>
      <c r="AA27" s="287"/>
      <c r="AB27" s="287"/>
      <c r="AC27" s="287"/>
      <c r="AD27" s="287"/>
      <c r="AE27" s="287"/>
      <c r="AF27" s="287"/>
      <c r="AG27" s="287"/>
      <c r="AH27" s="287"/>
      <c r="AI27" s="287"/>
      <c r="AJ27" s="287"/>
      <c r="AK27" s="287"/>
      <c r="AL27" s="287"/>
      <c r="AM27" s="287"/>
      <c r="AN27" s="287"/>
      <c r="AO27" s="287"/>
      <c r="AP27" s="287"/>
      <c r="AQ27" s="287"/>
      <c r="AR27" s="287"/>
      <c r="AS27" s="287"/>
      <c r="AT27" s="287"/>
      <c r="AU27" s="287"/>
      <c r="AV27" s="287"/>
      <c r="AW27" s="287"/>
      <c r="AX27" s="287"/>
      <c r="AY27" s="287"/>
      <c r="AZ27" s="287"/>
      <c r="BA27" s="287"/>
      <c r="BB27" s="287"/>
      <c r="BC27" s="287"/>
      <c r="BD27" s="287"/>
      <c r="BE27" s="287"/>
      <c r="BF27" s="287"/>
      <c r="BG27" s="287"/>
      <c r="BH27" s="287"/>
      <c r="BI27" s="287"/>
      <c r="BJ27" s="287"/>
      <c r="BK27" s="287"/>
      <c r="BL27" s="287"/>
      <c r="BM27" s="287"/>
      <c r="BN27" s="287"/>
      <c r="BO27" s="287"/>
      <c r="BP27" s="287"/>
      <c r="BQ27" s="287"/>
      <c r="BR27" s="287"/>
      <c r="BS27" s="287"/>
      <c r="BT27" s="287"/>
      <c r="BU27" s="287"/>
      <c r="BV27" s="287"/>
      <c r="BW27" s="287"/>
      <c r="BX27" s="287"/>
      <c r="BY27" s="287"/>
      <c r="BZ27" s="287"/>
      <c r="CA27" s="287"/>
      <c r="CB27" s="287"/>
      <c r="CC27" s="287"/>
      <c r="CD27" s="287"/>
      <c r="CE27" s="287"/>
      <c r="CF27" s="287"/>
      <c r="CG27" s="287"/>
      <c r="CH27" s="287"/>
      <c r="CI27" s="287"/>
      <c r="CJ27" s="287"/>
      <c r="CK27" s="287"/>
      <c r="CL27" s="287"/>
      <c r="CM27" s="287"/>
      <c r="CN27" s="287"/>
      <c r="CO27" s="287"/>
      <c r="CP27" s="287"/>
      <c r="CQ27" s="287"/>
      <c r="CR27" s="287"/>
      <c r="CS27" s="287"/>
      <c r="CT27" s="287"/>
      <c r="CU27" s="287"/>
      <c r="CV27" s="287"/>
      <c r="CW27" s="287"/>
      <c r="CX27" s="287"/>
      <c r="CY27" s="287"/>
      <c r="CZ27" s="287"/>
      <c r="DA27" s="287"/>
      <c r="DB27" s="287"/>
      <c r="DC27" s="287"/>
      <c r="DD27" s="287"/>
      <c r="DE27" s="287"/>
      <c r="DF27" s="287"/>
      <c r="DG27" s="287"/>
      <c r="DH27" s="287"/>
      <c r="DI27" s="287"/>
      <c r="DJ27" s="287"/>
      <c r="DK27" s="287"/>
      <c r="DL27" s="287"/>
      <c r="DM27" s="287"/>
      <c r="DN27" s="287"/>
      <c r="DO27" s="287"/>
      <c r="DP27" s="287"/>
      <c r="DQ27" s="287"/>
      <c r="DR27" s="287"/>
      <c r="DS27" s="287"/>
      <c r="DT27" s="287"/>
      <c r="DU27" s="287"/>
      <c r="DV27" s="287"/>
      <c r="DW27" s="287"/>
      <c r="DX27" s="287"/>
      <c r="DY27" s="287"/>
      <c r="DZ27" s="287"/>
      <c r="EA27" s="287"/>
      <c r="EB27" s="287"/>
      <c r="EC27" s="287"/>
      <c r="ED27" s="287"/>
      <c r="EE27" s="287"/>
      <c r="EF27" s="287"/>
      <c r="EG27" s="287"/>
      <c r="EH27" s="287"/>
      <c r="EI27" s="287"/>
      <c r="EJ27" s="287"/>
      <c r="EK27" s="287"/>
      <c r="EL27" s="287"/>
      <c r="EM27" s="287"/>
      <c r="EN27" s="287"/>
      <c r="EO27" s="287"/>
      <c r="EP27" s="287"/>
      <c r="EQ27" s="287"/>
      <c r="ER27" s="287"/>
      <c r="ES27" s="287"/>
      <c r="ET27" s="287"/>
      <c r="EU27" s="287"/>
      <c r="EV27" s="287"/>
      <c r="EW27" s="287"/>
      <c r="EX27" s="287"/>
      <c r="EY27" s="287"/>
      <c r="EZ27" s="287"/>
      <c r="FA27" s="287"/>
      <c r="FB27" s="287"/>
      <c r="FC27" s="287"/>
      <c r="FD27" s="287"/>
      <c r="FE27" s="287"/>
      <c r="FF27" s="287"/>
      <c r="FG27" s="287"/>
      <c r="FH27" s="287"/>
      <c r="FI27" s="287"/>
      <c r="FJ27" s="287"/>
      <c r="FK27" s="287"/>
      <c r="FL27" s="287"/>
      <c r="FM27" s="287"/>
      <c r="FN27" s="287"/>
      <c r="FO27" s="287"/>
      <c r="FP27" s="287"/>
      <c r="FQ27" s="287"/>
      <c r="FR27" s="287"/>
      <c r="FS27" s="287"/>
      <c r="FT27" s="287"/>
      <c r="FU27" s="287"/>
      <c r="FV27" s="287"/>
      <c r="FW27" s="287"/>
      <c r="FX27" s="287"/>
      <c r="FY27" s="287"/>
      <c r="FZ27" s="287"/>
      <c r="GA27" s="287"/>
      <c r="GB27" s="287"/>
      <c r="GC27" s="287"/>
      <c r="GD27" s="287"/>
      <c r="GE27" s="287"/>
      <c r="GF27" s="287"/>
      <c r="GG27" s="287"/>
      <c r="GH27" s="287"/>
      <c r="GI27" s="287"/>
      <c r="GJ27" s="287"/>
      <c r="GK27" s="287"/>
      <c r="GL27" s="287"/>
      <c r="GM27" s="287"/>
      <c r="GN27" s="287"/>
      <c r="GO27" s="287"/>
      <c r="GP27" s="287"/>
      <c r="GQ27" s="287"/>
      <c r="GR27" s="287"/>
      <c r="GS27" s="287"/>
      <c r="GT27" s="287"/>
      <c r="GU27" s="287"/>
      <c r="GV27" s="287"/>
      <c r="GW27" s="287"/>
      <c r="GX27" s="287"/>
      <c r="GY27" s="287"/>
      <c r="GZ27" s="287"/>
      <c r="HA27" s="287"/>
      <c r="HB27" s="287"/>
      <c r="HC27" s="287"/>
      <c r="HD27" s="287"/>
      <c r="HE27" s="287"/>
      <c r="HF27" s="287"/>
      <c r="HG27" s="287"/>
      <c r="HH27" s="287"/>
      <c r="HI27" s="287"/>
      <c r="HJ27" s="287"/>
      <c r="HK27" s="287"/>
      <c r="HL27" s="287"/>
      <c r="HM27" s="287"/>
      <c r="HN27" s="287"/>
      <c r="HO27" s="287"/>
      <c r="HP27" s="287"/>
      <c r="HQ27" s="287"/>
      <c r="HR27" s="287"/>
      <c r="HS27" s="287"/>
      <c r="HT27" s="287"/>
      <c r="HU27" s="287"/>
      <c r="HV27" s="287"/>
      <c r="HW27" s="287"/>
      <c r="HX27" s="287"/>
      <c r="HY27" s="287"/>
      <c r="HZ27" s="287"/>
      <c r="IA27" s="287"/>
      <c r="IB27" s="287"/>
      <c r="IC27" s="287"/>
      <c r="ID27" s="287"/>
      <c r="IE27" s="287"/>
      <c r="IF27" s="287"/>
      <c r="IG27" s="287"/>
      <c r="IH27" s="287"/>
      <c r="II27" s="287"/>
      <c r="IJ27" s="287"/>
    </row>
    <row r="28" spans="2:244" s="261" customFormat="1" ht="23.25" customHeight="1">
      <c r="B28" s="289" t="s">
        <v>23</v>
      </c>
      <c r="C28" s="290"/>
      <c r="D28" s="291"/>
      <c r="E28" s="291"/>
      <c r="F28" s="291"/>
      <c r="G28" s="291"/>
      <c r="H28" s="291"/>
      <c r="I28" s="291"/>
      <c r="J28" s="291"/>
      <c r="K28" s="291"/>
      <c r="L28" s="291"/>
      <c r="M28" s="291"/>
      <c r="N28" s="291"/>
      <c r="O28" s="291"/>
      <c r="P28" s="291"/>
      <c r="Q28" s="291"/>
      <c r="R28" s="291"/>
      <c r="S28" s="291"/>
      <c r="T28" s="291"/>
      <c r="U28" s="291"/>
      <c r="V28" s="287"/>
      <c r="W28" s="287"/>
      <c r="X28" s="287"/>
      <c r="Y28" s="287"/>
      <c r="Z28" s="287"/>
      <c r="AA28" s="287"/>
      <c r="AB28" s="287"/>
      <c r="AC28" s="287"/>
      <c r="AD28" s="287"/>
      <c r="AE28" s="287"/>
      <c r="AF28" s="287"/>
      <c r="AG28" s="287"/>
      <c r="AH28" s="287"/>
      <c r="AI28" s="287"/>
      <c r="AJ28" s="287"/>
      <c r="AK28" s="287"/>
      <c r="AL28" s="287"/>
      <c r="AM28" s="287"/>
      <c r="AN28" s="287"/>
      <c r="AO28" s="287"/>
      <c r="AP28" s="287"/>
      <c r="AQ28" s="287"/>
      <c r="AR28" s="287"/>
      <c r="AS28" s="287"/>
      <c r="AT28" s="287"/>
      <c r="AU28" s="287"/>
      <c r="AV28" s="287"/>
      <c r="AW28" s="287"/>
      <c r="AX28" s="287"/>
      <c r="AY28" s="287"/>
      <c r="AZ28" s="287"/>
      <c r="BA28" s="287"/>
      <c r="BB28" s="287"/>
      <c r="BC28" s="287"/>
      <c r="BD28" s="287"/>
      <c r="BE28" s="287"/>
      <c r="BF28" s="287"/>
      <c r="BG28" s="287"/>
      <c r="BH28" s="287"/>
      <c r="BI28" s="287"/>
      <c r="BJ28" s="287"/>
      <c r="BK28" s="287"/>
      <c r="BL28" s="287"/>
      <c r="BM28" s="287"/>
      <c r="BN28" s="287"/>
      <c r="BO28" s="287"/>
      <c r="BP28" s="287"/>
      <c r="BQ28" s="287"/>
      <c r="BR28" s="287"/>
      <c r="BS28" s="287"/>
      <c r="BT28" s="287"/>
      <c r="BU28" s="287"/>
      <c r="BV28" s="287"/>
      <c r="BW28" s="287"/>
      <c r="BX28" s="287"/>
      <c r="BY28" s="287"/>
      <c r="BZ28" s="287"/>
      <c r="CA28" s="287"/>
      <c r="CB28" s="287"/>
      <c r="CC28" s="287"/>
      <c r="CD28" s="287"/>
      <c r="CE28" s="287"/>
      <c r="CF28" s="287"/>
      <c r="CG28" s="287"/>
      <c r="CH28" s="287"/>
      <c r="CI28" s="287"/>
      <c r="CJ28" s="287"/>
      <c r="CK28" s="287"/>
      <c r="CL28" s="287"/>
      <c r="CM28" s="287"/>
      <c r="CN28" s="287"/>
      <c r="CO28" s="287"/>
      <c r="CP28" s="287"/>
      <c r="CQ28" s="287"/>
      <c r="CR28" s="287"/>
      <c r="CS28" s="287"/>
      <c r="CT28" s="287"/>
      <c r="CU28" s="287"/>
      <c r="CV28" s="287"/>
      <c r="CW28" s="287"/>
      <c r="CX28" s="287"/>
      <c r="CY28" s="287"/>
      <c r="CZ28" s="287"/>
      <c r="DA28" s="287"/>
      <c r="DB28" s="287"/>
      <c r="DC28" s="287"/>
      <c r="DD28" s="287"/>
      <c r="DE28" s="287"/>
      <c r="DF28" s="287"/>
      <c r="DG28" s="287"/>
      <c r="DH28" s="287"/>
      <c r="DI28" s="287"/>
      <c r="DJ28" s="287"/>
      <c r="DK28" s="287"/>
      <c r="DL28" s="287"/>
      <c r="DM28" s="287"/>
      <c r="DN28" s="287"/>
      <c r="DO28" s="287"/>
      <c r="DP28" s="287"/>
      <c r="DQ28" s="287"/>
      <c r="DR28" s="287"/>
      <c r="DS28" s="287"/>
      <c r="DT28" s="287"/>
      <c r="DU28" s="287"/>
      <c r="DV28" s="287"/>
      <c r="DW28" s="287"/>
      <c r="DX28" s="287"/>
      <c r="DY28" s="287"/>
      <c r="DZ28" s="287"/>
      <c r="EA28" s="287"/>
      <c r="EB28" s="287"/>
      <c r="EC28" s="287"/>
      <c r="ED28" s="287"/>
      <c r="EE28" s="287"/>
      <c r="EF28" s="287"/>
      <c r="EG28" s="287"/>
      <c r="EH28" s="287"/>
      <c r="EI28" s="287"/>
      <c r="EJ28" s="287"/>
      <c r="EK28" s="287"/>
      <c r="EL28" s="287"/>
      <c r="EM28" s="287"/>
      <c r="EN28" s="287"/>
      <c r="EO28" s="287"/>
      <c r="EP28" s="287"/>
      <c r="EQ28" s="287"/>
      <c r="ER28" s="287"/>
      <c r="ES28" s="287"/>
      <c r="ET28" s="287"/>
      <c r="EU28" s="287"/>
      <c r="EV28" s="287"/>
      <c r="EW28" s="287"/>
      <c r="EX28" s="287"/>
      <c r="EY28" s="287"/>
      <c r="EZ28" s="287"/>
      <c r="FA28" s="287"/>
      <c r="FB28" s="287"/>
      <c r="FC28" s="287"/>
      <c r="FD28" s="287"/>
      <c r="FE28" s="287"/>
      <c r="FF28" s="287"/>
      <c r="FG28" s="287"/>
      <c r="FH28" s="287"/>
      <c r="FI28" s="287"/>
      <c r="FJ28" s="287"/>
      <c r="FK28" s="287"/>
      <c r="FL28" s="287"/>
      <c r="FM28" s="287"/>
      <c r="FN28" s="287"/>
      <c r="FO28" s="287"/>
      <c r="FP28" s="287"/>
      <c r="FQ28" s="287"/>
      <c r="FR28" s="287"/>
      <c r="FS28" s="287"/>
      <c r="FT28" s="287"/>
      <c r="FU28" s="287"/>
      <c r="FV28" s="287"/>
      <c r="FW28" s="287"/>
      <c r="FX28" s="287"/>
      <c r="FY28" s="287"/>
      <c r="FZ28" s="287"/>
      <c r="GA28" s="287"/>
      <c r="GB28" s="287"/>
      <c r="GC28" s="287"/>
      <c r="GD28" s="287"/>
      <c r="GE28" s="287"/>
      <c r="GF28" s="287"/>
      <c r="GG28" s="287"/>
      <c r="GH28" s="287"/>
      <c r="GI28" s="287"/>
      <c r="GJ28" s="287"/>
      <c r="GK28" s="287"/>
      <c r="GL28" s="287"/>
      <c r="GM28" s="287"/>
      <c r="GN28" s="287"/>
      <c r="GO28" s="287"/>
      <c r="GP28" s="287"/>
      <c r="GQ28" s="287"/>
      <c r="GR28" s="287"/>
      <c r="GS28" s="287"/>
      <c r="GT28" s="287"/>
      <c r="GU28" s="287"/>
      <c r="GV28" s="287"/>
      <c r="GW28" s="287"/>
      <c r="GX28" s="287"/>
      <c r="GY28" s="287"/>
      <c r="GZ28" s="287"/>
      <c r="HA28" s="287"/>
      <c r="HB28" s="287"/>
      <c r="HC28" s="287"/>
      <c r="HD28" s="287"/>
      <c r="HE28" s="287"/>
      <c r="HF28" s="287"/>
      <c r="HG28" s="287"/>
      <c r="HH28" s="287"/>
      <c r="HI28" s="287"/>
      <c r="HJ28" s="287"/>
      <c r="HK28" s="287"/>
      <c r="HL28" s="287"/>
      <c r="HM28" s="287"/>
      <c r="HN28" s="287"/>
      <c r="HO28" s="287"/>
      <c r="HP28" s="287"/>
      <c r="HQ28" s="287"/>
      <c r="HR28" s="287"/>
      <c r="HS28" s="287"/>
      <c r="HT28" s="287"/>
      <c r="HU28" s="287"/>
      <c r="HV28" s="287"/>
      <c r="HW28" s="287"/>
      <c r="HX28" s="287"/>
      <c r="HY28" s="287"/>
      <c r="HZ28" s="287"/>
      <c r="IA28" s="287"/>
      <c r="IB28" s="287"/>
      <c r="IC28" s="287"/>
      <c r="ID28" s="287"/>
      <c r="IE28" s="287"/>
      <c r="IF28" s="287"/>
      <c r="IG28" s="287"/>
      <c r="IH28" s="287"/>
      <c r="II28" s="287"/>
      <c r="IJ28" s="287"/>
    </row>
    <row r="29" spans="2:244" s="261" customFormat="1" ht="70.5" customHeight="1">
      <c r="B29" s="216">
        <v>1</v>
      </c>
      <c r="C29" s="1130" t="s">
        <v>961</v>
      </c>
      <c r="D29" s="1152"/>
      <c r="E29" s="1152"/>
      <c r="F29" s="1152"/>
      <c r="G29" s="1152"/>
      <c r="H29" s="1152"/>
      <c r="I29" s="1152"/>
      <c r="J29" s="1152"/>
      <c r="K29" s="1152"/>
      <c r="L29" s="1152"/>
      <c r="M29" s="1152"/>
      <c r="N29" s="1152"/>
      <c r="O29" s="1152"/>
      <c r="P29" s="1152"/>
      <c r="Q29" s="1152"/>
      <c r="R29" s="1152"/>
      <c r="S29" s="1152"/>
      <c r="T29" s="1152"/>
      <c r="U29" s="1152"/>
      <c r="V29" s="1153"/>
      <c r="W29" s="287"/>
      <c r="X29" s="287"/>
      <c r="Y29" s="287"/>
      <c r="Z29" s="287"/>
      <c r="AA29" s="287"/>
      <c r="AB29" s="287"/>
      <c r="AC29" s="287"/>
      <c r="AD29" s="287"/>
      <c r="AE29" s="287"/>
      <c r="AF29" s="287"/>
      <c r="AG29" s="287"/>
      <c r="AH29" s="287"/>
      <c r="AI29" s="287"/>
      <c r="AJ29" s="287"/>
      <c r="AK29" s="287"/>
      <c r="AL29" s="287"/>
      <c r="AM29" s="287"/>
      <c r="AN29" s="287"/>
      <c r="AO29" s="287"/>
      <c r="AP29" s="287"/>
      <c r="AQ29" s="287"/>
      <c r="AR29" s="287"/>
      <c r="AS29" s="287"/>
      <c r="AT29" s="287"/>
      <c r="AU29" s="287"/>
      <c r="AV29" s="287"/>
      <c r="AW29" s="287"/>
      <c r="AX29" s="287"/>
      <c r="AY29" s="287"/>
      <c r="AZ29" s="287"/>
      <c r="BA29" s="287"/>
      <c r="BB29" s="287"/>
      <c r="BC29" s="287"/>
      <c r="BD29" s="287"/>
      <c r="BE29" s="287"/>
      <c r="BF29" s="287"/>
      <c r="BG29" s="287"/>
      <c r="BH29" s="287"/>
      <c r="BI29" s="287"/>
      <c r="BJ29" s="287"/>
      <c r="BK29" s="287"/>
      <c r="BL29" s="287"/>
      <c r="BM29" s="287"/>
      <c r="BN29" s="287"/>
      <c r="BO29" s="287"/>
      <c r="BP29" s="287"/>
      <c r="BQ29" s="287"/>
      <c r="BR29" s="287"/>
      <c r="BS29" s="287"/>
      <c r="BT29" s="287"/>
      <c r="BU29" s="287"/>
      <c r="BV29" s="287"/>
      <c r="BW29" s="287"/>
      <c r="BX29" s="287"/>
      <c r="BY29" s="287"/>
      <c r="BZ29" s="287"/>
      <c r="CA29" s="287"/>
      <c r="CB29" s="287"/>
      <c r="CC29" s="287"/>
      <c r="CD29" s="287"/>
      <c r="CE29" s="287"/>
      <c r="CF29" s="287"/>
      <c r="CG29" s="287"/>
      <c r="CH29" s="287"/>
      <c r="CI29" s="287"/>
      <c r="CJ29" s="287"/>
      <c r="CK29" s="287"/>
      <c r="CL29" s="287"/>
      <c r="CM29" s="287"/>
      <c r="CN29" s="287"/>
      <c r="CO29" s="287"/>
      <c r="CP29" s="287"/>
      <c r="CQ29" s="287"/>
      <c r="CR29" s="287"/>
      <c r="CS29" s="287"/>
      <c r="CT29" s="287"/>
      <c r="CU29" s="287"/>
      <c r="CV29" s="287"/>
      <c r="CW29" s="287"/>
      <c r="CX29" s="287"/>
      <c r="CY29" s="287"/>
      <c r="CZ29" s="287"/>
      <c r="DA29" s="287"/>
      <c r="DB29" s="287"/>
      <c r="DC29" s="287"/>
      <c r="DD29" s="287"/>
      <c r="DE29" s="287"/>
      <c r="DF29" s="287"/>
      <c r="DG29" s="287"/>
      <c r="DH29" s="287"/>
      <c r="DI29" s="287"/>
      <c r="DJ29" s="287"/>
      <c r="DK29" s="287"/>
      <c r="DL29" s="287"/>
      <c r="DM29" s="287"/>
      <c r="DN29" s="287"/>
      <c r="DO29" s="287"/>
      <c r="DP29" s="287"/>
      <c r="DQ29" s="287"/>
      <c r="DR29" s="287"/>
      <c r="DS29" s="287"/>
      <c r="DT29" s="287"/>
      <c r="DU29" s="287"/>
      <c r="DV29" s="287"/>
      <c r="DW29" s="287"/>
      <c r="DX29" s="287"/>
      <c r="DY29" s="287"/>
      <c r="DZ29" s="287"/>
      <c r="EA29" s="287"/>
      <c r="EB29" s="287"/>
      <c r="EC29" s="287"/>
      <c r="ED29" s="287"/>
      <c r="EE29" s="287"/>
      <c r="EF29" s="287"/>
      <c r="EG29" s="287"/>
      <c r="EH29" s="287"/>
      <c r="EI29" s="287"/>
      <c r="EJ29" s="287"/>
      <c r="EK29" s="287"/>
      <c r="EL29" s="287"/>
      <c r="EM29" s="287"/>
      <c r="EN29" s="287"/>
      <c r="EO29" s="287"/>
      <c r="EP29" s="287"/>
      <c r="EQ29" s="287"/>
      <c r="ER29" s="287"/>
      <c r="ES29" s="287"/>
      <c r="ET29" s="287"/>
      <c r="EU29" s="287"/>
      <c r="EV29" s="287"/>
      <c r="EW29" s="287"/>
      <c r="EX29" s="287"/>
      <c r="EY29" s="287"/>
      <c r="EZ29" s="287"/>
      <c r="FA29" s="287"/>
      <c r="FB29" s="287"/>
      <c r="FC29" s="287"/>
      <c r="FD29" s="287"/>
      <c r="FE29" s="287"/>
      <c r="FF29" s="287"/>
      <c r="FG29" s="287"/>
      <c r="FH29" s="287"/>
      <c r="FI29" s="287"/>
      <c r="FJ29" s="287"/>
      <c r="FK29" s="287"/>
      <c r="FL29" s="287"/>
      <c r="FM29" s="287"/>
      <c r="FN29" s="287"/>
      <c r="FO29" s="287"/>
      <c r="FP29" s="287"/>
      <c r="FQ29" s="287"/>
      <c r="FR29" s="287"/>
      <c r="FS29" s="287"/>
      <c r="FT29" s="287"/>
      <c r="FU29" s="287"/>
      <c r="FV29" s="287"/>
      <c r="FW29" s="287"/>
      <c r="FX29" s="287"/>
      <c r="FY29" s="287"/>
      <c r="FZ29" s="287"/>
      <c r="GA29" s="287"/>
      <c r="GB29" s="287"/>
      <c r="GC29" s="287"/>
      <c r="GD29" s="287"/>
      <c r="GE29" s="287"/>
      <c r="GF29" s="287"/>
      <c r="GG29" s="287"/>
      <c r="GH29" s="287"/>
      <c r="GI29" s="287"/>
      <c r="GJ29" s="287"/>
      <c r="GK29" s="287"/>
      <c r="GL29" s="287"/>
      <c r="GM29" s="287"/>
      <c r="GN29" s="287"/>
      <c r="GO29" s="287"/>
      <c r="GP29" s="287"/>
      <c r="GQ29" s="287"/>
      <c r="GR29" s="287"/>
      <c r="GS29" s="287"/>
      <c r="GT29" s="287"/>
      <c r="GU29" s="287"/>
      <c r="GV29" s="287"/>
      <c r="GW29" s="287"/>
      <c r="GX29" s="287"/>
      <c r="GY29" s="287"/>
      <c r="GZ29" s="287"/>
      <c r="HA29" s="287"/>
      <c r="HB29" s="287"/>
      <c r="HC29" s="287"/>
      <c r="HD29" s="287"/>
      <c r="HE29" s="287"/>
      <c r="HF29" s="287"/>
      <c r="HG29" s="287"/>
      <c r="HH29" s="287"/>
      <c r="HI29" s="287"/>
      <c r="HJ29" s="287"/>
      <c r="HK29" s="287"/>
      <c r="HL29" s="287"/>
      <c r="HM29" s="287"/>
      <c r="HN29" s="287"/>
      <c r="HO29" s="287"/>
      <c r="HP29" s="287"/>
      <c r="HQ29" s="287"/>
      <c r="HR29" s="287"/>
      <c r="HS29" s="287"/>
      <c r="HT29" s="287"/>
      <c r="HU29" s="287"/>
      <c r="HV29" s="287"/>
      <c r="HW29" s="287"/>
      <c r="HX29" s="287"/>
      <c r="HY29" s="287"/>
      <c r="HZ29" s="287"/>
      <c r="IA29" s="287"/>
      <c r="IB29" s="287"/>
      <c r="IC29" s="287"/>
      <c r="ID29" s="287"/>
      <c r="IE29" s="287"/>
      <c r="IF29" s="287"/>
      <c r="IG29" s="287"/>
      <c r="IH29" s="287"/>
      <c r="II29" s="287"/>
      <c r="IJ29" s="287"/>
    </row>
    <row r="30" spans="2:244" s="261" customFormat="1" ht="25.5" customHeight="1">
      <c r="B30" s="216">
        <f>B29+1</f>
        <v>2</v>
      </c>
      <c r="C30" s="1130" t="s">
        <v>25</v>
      </c>
      <c r="D30" s="1152"/>
      <c r="E30" s="1152"/>
      <c r="F30" s="1152"/>
      <c r="G30" s="1152"/>
      <c r="H30" s="1152"/>
      <c r="I30" s="1152"/>
      <c r="J30" s="1152"/>
      <c r="K30" s="1152"/>
      <c r="L30" s="1152"/>
      <c r="M30" s="1152"/>
      <c r="N30" s="1152"/>
      <c r="O30" s="1152"/>
      <c r="P30" s="1152"/>
      <c r="Q30" s="1152"/>
      <c r="R30" s="1152"/>
      <c r="S30" s="1152"/>
      <c r="T30" s="1152"/>
      <c r="U30" s="1152"/>
      <c r="V30" s="1153"/>
      <c r="W30" s="287"/>
      <c r="X30" s="287"/>
      <c r="Y30" s="287"/>
      <c r="Z30" s="287"/>
      <c r="AA30" s="287"/>
      <c r="AB30" s="287"/>
      <c r="AC30" s="287"/>
      <c r="AD30" s="287"/>
      <c r="AE30" s="287"/>
      <c r="AF30" s="287"/>
      <c r="AG30" s="287"/>
      <c r="AH30" s="287"/>
      <c r="AI30" s="287"/>
      <c r="AJ30" s="287"/>
      <c r="AK30" s="287"/>
      <c r="AL30" s="287"/>
      <c r="AM30" s="287"/>
      <c r="AN30" s="287"/>
      <c r="AO30" s="287"/>
      <c r="AP30" s="287"/>
      <c r="AQ30" s="287"/>
      <c r="AR30" s="287"/>
      <c r="AS30" s="287"/>
      <c r="AT30" s="287"/>
      <c r="AU30" s="287"/>
      <c r="AV30" s="287"/>
      <c r="AW30" s="287"/>
      <c r="AX30" s="287"/>
      <c r="AY30" s="287"/>
      <c r="AZ30" s="287"/>
      <c r="BA30" s="287"/>
      <c r="BB30" s="287"/>
      <c r="BC30" s="287"/>
      <c r="BD30" s="287"/>
      <c r="BE30" s="287"/>
      <c r="BF30" s="287"/>
      <c r="BG30" s="287"/>
      <c r="BH30" s="287"/>
      <c r="BI30" s="287"/>
      <c r="BJ30" s="287"/>
      <c r="BK30" s="287"/>
      <c r="BL30" s="287"/>
      <c r="BM30" s="287"/>
      <c r="BN30" s="287"/>
      <c r="BO30" s="287"/>
      <c r="BP30" s="287"/>
      <c r="BQ30" s="287"/>
      <c r="BR30" s="287"/>
      <c r="BS30" s="287"/>
      <c r="BT30" s="287"/>
      <c r="BU30" s="287"/>
      <c r="BV30" s="287"/>
      <c r="BW30" s="287"/>
      <c r="BX30" s="287"/>
      <c r="BY30" s="287"/>
      <c r="BZ30" s="287"/>
      <c r="CA30" s="287"/>
      <c r="CB30" s="287"/>
      <c r="CC30" s="287"/>
      <c r="CD30" s="287"/>
      <c r="CE30" s="287"/>
      <c r="CF30" s="287"/>
      <c r="CG30" s="287"/>
      <c r="CH30" s="287"/>
      <c r="CI30" s="287"/>
      <c r="CJ30" s="287"/>
      <c r="CK30" s="287"/>
      <c r="CL30" s="287"/>
      <c r="CM30" s="287"/>
      <c r="CN30" s="287"/>
      <c r="CO30" s="287"/>
      <c r="CP30" s="287"/>
      <c r="CQ30" s="287"/>
      <c r="CR30" s="287"/>
      <c r="CS30" s="287"/>
      <c r="CT30" s="287"/>
      <c r="CU30" s="287"/>
      <c r="CV30" s="287"/>
      <c r="CW30" s="287"/>
      <c r="CX30" s="287"/>
      <c r="CY30" s="287"/>
      <c r="CZ30" s="287"/>
      <c r="DA30" s="287"/>
      <c r="DB30" s="287"/>
      <c r="DC30" s="287"/>
      <c r="DD30" s="287"/>
      <c r="DE30" s="287"/>
      <c r="DF30" s="287"/>
      <c r="DG30" s="287"/>
      <c r="DH30" s="287"/>
      <c r="DI30" s="287"/>
      <c r="DJ30" s="287"/>
      <c r="DK30" s="287"/>
      <c r="DL30" s="287"/>
      <c r="DM30" s="287"/>
      <c r="DN30" s="287"/>
      <c r="DO30" s="287"/>
      <c r="DP30" s="287"/>
      <c r="DQ30" s="287"/>
      <c r="DR30" s="287"/>
      <c r="DS30" s="287"/>
      <c r="DT30" s="287"/>
      <c r="DU30" s="287"/>
      <c r="DV30" s="287"/>
      <c r="DW30" s="287"/>
      <c r="DX30" s="287"/>
      <c r="DY30" s="287"/>
      <c r="DZ30" s="287"/>
      <c r="EA30" s="287"/>
      <c r="EB30" s="287"/>
      <c r="EC30" s="287"/>
      <c r="ED30" s="287"/>
      <c r="EE30" s="287"/>
      <c r="EF30" s="287"/>
      <c r="EG30" s="287"/>
      <c r="EH30" s="287"/>
      <c r="EI30" s="287"/>
      <c r="EJ30" s="287"/>
      <c r="EK30" s="287"/>
      <c r="EL30" s="287"/>
      <c r="EM30" s="287"/>
      <c r="EN30" s="287"/>
      <c r="EO30" s="287"/>
      <c r="EP30" s="287"/>
      <c r="EQ30" s="287"/>
      <c r="ER30" s="287"/>
      <c r="ES30" s="287"/>
      <c r="ET30" s="287"/>
      <c r="EU30" s="287"/>
      <c r="EV30" s="287"/>
      <c r="EW30" s="287"/>
      <c r="EX30" s="287"/>
      <c r="EY30" s="287"/>
      <c r="EZ30" s="287"/>
      <c r="FA30" s="287"/>
      <c r="FB30" s="287"/>
      <c r="FC30" s="287"/>
      <c r="FD30" s="287"/>
      <c r="FE30" s="287"/>
      <c r="FF30" s="287"/>
      <c r="FG30" s="287"/>
      <c r="FH30" s="287"/>
      <c r="FI30" s="287"/>
      <c r="FJ30" s="287"/>
      <c r="FK30" s="287"/>
      <c r="FL30" s="287"/>
      <c r="FM30" s="287"/>
      <c r="FN30" s="287"/>
      <c r="FO30" s="287"/>
      <c r="FP30" s="287"/>
      <c r="FQ30" s="287"/>
      <c r="FR30" s="287"/>
      <c r="FS30" s="287"/>
      <c r="FT30" s="287"/>
      <c r="FU30" s="287"/>
      <c r="FV30" s="287"/>
      <c r="FW30" s="287"/>
      <c r="FX30" s="287"/>
      <c r="FY30" s="287"/>
      <c r="FZ30" s="287"/>
      <c r="GA30" s="287"/>
      <c r="GB30" s="287"/>
      <c r="GC30" s="287"/>
      <c r="GD30" s="287"/>
      <c r="GE30" s="287"/>
      <c r="GF30" s="287"/>
      <c r="GG30" s="287"/>
      <c r="GH30" s="287"/>
      <c r="GI30" s="287"/>
      <c r="GJ30" s="287"/>
      <c r="GK30" s="287"/>
      <c r="GL30" s="287"/>
      <c r="GM30" s="287"/>
      <c r="GN30" s="287"/>
      <c r="GO30" s="287"/>
      <c r="GP30" s="287"/>
      <c r="GQ30" s="287"/>
      <c r="GR30" s="287"/>
      <c r="GS30" s="287"/>
      <c r="GT30" s="287"/>
      <c r="GU30" s="287"/>
      <c r="GV30" s="287"/>
      <c r="GW30" s="287"/>
      <c r="GX30" s="287"/>
      <c r="GY30" s="287"/>
      <c r="GZ30" s="287"/>
      <c r="HA30" s="287"/>
      <c r="HB30" s="287"/>
      <c r="HC30" s="287"/>
      <c r="HD30" s="287"/>
      <c r="HE30" s="287"/>
      <c r="HF30" s="287"/>
      <c r="HG30" s="287"/>
      <c r="HH30" s="287"/>
      <c r="HI30" s="287"/>
      <c r="HJ30" s="287"/>
      <c r="HK30" s="287"/>
      <c r="HL30" s="287"/>
      <c r="HM30" s="287"/>
      <c r="HN30" s="287"/>
      <c r="HO30" s="287"/>
      <c r="HP30" s="287"/>
      <c r="HQ30" s="287"/>
      <c r="HR30" s="287"/>
      <c r="HS30" s="287"/>
      <c r="HT30" s="287"/>
      <c r="HU30" s="287"/>
      <c r="HV30" s="287"/>
      <c r="HW30" s="287"/>
      <c r="HX30" s="287"/>
      <c r="HY30" s="287"/>
      <c r="HZ30" s="287"/>
      <c r="IA30" s="287"/>
      <c r="IB30" s="287"/>
      <c r="IC30" s="287"/>
      <c r="ID30" s="287"/>
      <c r="IE30" s="287"/>
      <c r="IF30" s="287"/>
      <c r="IG30" s="287"/>
      <c r="IH30" s="287"/>
      <c r="II30" s="287"/>
      <c r="IJ30" s="287"/>
    </row>
    <row r="31" spans="2:244" ht="41.25" customHeight="1">
      <c r="B31" s="216">
        <v>3</v>
      </c>
      <c r="C31" s="1130" t="s">
        <v>962</v>
      </c>
      <c r="D31" s="1152"/>
      <c r="E31" s="1152"/>
      <c r="F31" s="1152"/>
      <c r="G31" s="1152"/>
      <c r="H31" s="1152"/>
      <c r="I31" s="1152"/>
      <c r="J31" s="1152"/>
      <c r="K31" s="1152"/>
      <c r="L31" s="1152"/>
      <c r="M31" s="1152"/>
      <c r="N31" s="1152"/>
      <c r="O31" s="1152"/>
      <c r="P31" s="1152"/>
      <c r="Q31" s="1152"/>
      <c r="R31" s="1152"/>
      <c r="S31" s="1152"/>
      <c r="T31" s="1152"/>
      <c r="U31" s="1152"/>
      <c r="V31" s="1153"/>
    </row>
    <row r="37" spans="4:8">
      <c r="D37" s="292"/>
      <c r="E37" s="292"/>
      <c r="F37" s="292"/>
      <c r="G37" s="292"/>
      <c r="H37" s="292"/>
    </row>
  </sheetData>
  <mergeCells count="5">
    <mergeCell ref="B3:M3"/>
    <mergeCell ref="B12:T12"/>
    <mergeCell ref="C29:V29"/>
    <mergeCell ref="C30:V30"/>
    <mergeCell ref="C31:V31"/>
  </mergeCells>
  <printOptions horizontalCentered="1" verticalCentered="1"/>
  <pageMargins left="0.39370078740157499" right="0.39370078740157499" top="0.39370078740157499" bottom="0.39370078740157499" header="0" footer="0"/>
  <pageSetup paperSize="9" scale="26" firstPageNumber="0" orientation="landscape" useFirstPageNumber="1" horizontalDpi="300" verticalDpi="300"/>
  <headerFooter alignWithMargins="0"/>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K43"/>
  <sheetViews>
    <sheetView showGridLines="0" zoomScale="90" zoomScaleNormal="90" zoomScaleSheetLayoutView="90" workbookViewId="0">
      <selection activeCell="J20" sqref="J20"/>
    </sheetView>
  </sheetViews>
  <sheetFormatPr defaultColWidth="9.7109375" defaultRowHeight="15.75"/>
  <cols>
    <col min="1" max="1" width="9.7109375" style="121"/>
    <col min="2" max="2" width="24" style="120" customWidth="1"/>
    <col min="3" max="3" width="61.85546875" style="120" customWidth="1"/>
    <col min="4" max="4" width="8.140625" style="120" customWidth="1"/>
    <col min="5" max="5" width="16.28515625" style="120" customWidth="1"/>
    <col min="6" max="6" width="19.85546875" style="120" customWidth="1"/>
    <col min="7" max="7" width="17.85546875" style="120" bestFit="1" customWidth="1"/>
    <col min="8" max="8" width="30.85546875" style="122" customWidth="1"/>
    <col min="9" max="9" width="7.85546875" style="122" customWidth="1"/>
    <col min="10" max="10" width="18.7109375" style="123" customWidth="1"/>
    <col min="11" max="11" width="16.85546875" style="122" customWidth="1"/>
    <col min="12" max="12" width="20.28515625" style="122" customWidth="1"/>
    <col min="13" max="13" width="19.85546875" style="120" customWidth="1"/>
    <col min="14" max="14" width="30.42578125" style="120" customWidth="1"/>
    <col min="15" max="15" width="32.85546875" style="120" customWidth="1"/>
    <col min="16" max="238" width="9.7109375" style="120"/>
    <col min="239" max="16384" width="9.7109375" style="121"/>
  </cols>
  <sheetData>
    <row r="2" spans="2:238" ht="22.5" customHeight="1">
      <c r="B2" s="1140" t="s">
        <v>1259</v>
      </c>
      <c r="C2" s="1141"/>
      <c r="D2" s="1141"/>
      <c r="E2" s="1141"/>
      <c r="F2" s="1141"/>
      <c r="G2" s="1141"/>
      <c r="H2" s="1142"/>
      <c r="I2" s="166"/>
      <c r="J2" s="167"/>
      <c r="K2" s="1143" t="s">
        <v>895</v>
      </c>
      <c r="L2" s="1143"/>
      <c r="M2" s="1143"/>
      <c r="N2" s="1128" t="s">
        <v>896</v>
      </c>
      <c r="ID2" s="121"/>
    </row>
    <row r="3" spans="2:238" ht="21" customHeight="1">
      <c r="B3" s="124" t="s">
        <v>810</v>
      </c>
      <c r="C3" s="124" t="s">
        <v>888</v>
      </c>
      <c r="D3" s="124" t="s">
        <v>897</v>
      </c>
      <c r="E3" s="124" t="s">
        <v>898</v>
      </c>
      <c r="F3" s="125" t="s">
        <v>899</v>
      </c>
      <c r="G3" s="125" t="s">
        <v>900</v>
      </c>
      <c r="H3" s="126" t="s">
        <v>901</v>
      </c>
      <c r="I3" s="169"/>
      <c r="J3" s="170"/>
      <c r="K3" s="1148" t="s">
        <v>902</v>
      </c>
      <c r="L3" s="171" t="s">
        <v>903</v>
      </c>
      <c r="M3" s="172" t="s">
        <v>904</v>
      </c>
      <c r="N3" s="1129"/>
      <c r="ID3" s="121"/>
    </row>
    <row r="4" spans="2:238" ht="20.25">
      <c r="B4" s="127">
        <v>1</v>
      </c>
      <c r="C4" s="1144" t="s">
        <v>905</v>
      </c>
      <c r="D4" s="1144"/>
      <c r="E4" s="1144"/>
      <c r="F4" s="1144"/>
      <c r="G4" s="1145"/>
      <c r="H4" s="129">
        <f>ROUND(SUM(G5:G7),2)</f>
        <v>192343.67</v>
      </c>
      <c r="I4" s="174" t="s">
        <v>739</v>
      </c>
      <c r="J4" s="175"/>
      <c r="K4" s="1149"/>
      <c r="L4" s="176">
        <f>SUM(L5:L7)</f>
        <v>241870.58999999997</v>
      </c>
      <c r="M4" s="177">
        <f>L4*12</f>
        <v>2902447.0799999996</v>
      </c>
      <c r="N4" s="178">
        <f>M4/M10</f>
        <v>0.82854412679534006</v>
      </c>
      <c r="ID4" s="121"/>
    </row>
    <row r="5" spans="2:238" ht="25.5" customHeight="1">
      <c r="B5" s="130" t="s">
        <v>893</v>
      </c>
      <c r="C5" s="130" t="str">
        <f>Áreas_edf_e_Descrição_postos!C16</f>
        <v>Supervisor</v>
      </c>
      <c r="D5" s="130" t="s">
        <v>906</v>
      </c>
      <c r="E5" s="130">
        <f>Áreas_edf_e_Descrição_postos!E16</f>
        <v>1</v>
      </c>
      <c r="F5" s="131">
        <f>ROUND('1_Supervisor'!E73,2)</f>
        <v>7674.2</v>
      </c>
      <c r="G5" s="131">
        <f>ROUND(F5*E5,2)</f>
        <v>7674.2</v>
      </c>
      <c r="H5" s="132"/>
      <c r="I5" s="179"/>
      <c r="J5" s="175"/>
      <c r="K5" s="180">
        <f>ROUND((F5+F5*E11+F5*E12+F5*E11*E12)/(1-E14),2)</f>
        <v>9650.25</v>
      </c>
      <c r="L5" s="181">
        <f t="shared" ref="L5:L7" si="0">E5*K5</f>
        <v>9650.25</v>
      </c>
      <c r="M5" s="182"/>
      <c r="N5" s="168"/>
      <c r="ID5" s="121"/>
    </row>
    <row r="6" spans="2:238" ht="25.5" customHeight="1">
      <c r="B6" s="130" t="s">
        <v>894</v>
      </c>
      <c r="C6" s="130" t="str">
        <f>Áreas_edf_e_Descrição_postos!C17</f>
        <v>Garçom</v>
      </c>
      <c r="D6" s="130" t="s">
        <v>906</v>
      </c>
      <c r="E6" s="130">
        <f>Áreas_edf_e_Descrição_postos!E17</f>
        <v>12</v>
      </c>
      <c r="F6" s="131">
        <f>ROUND('2_Garçon'!E73,2)</f>
        <v>6327.31</v>
      </c>
      <c r="G6" s="131">
        <f>ROUND(F6*E6,2)</f>
        <v>75927.72</v>
      </c>
      <c r="H6" s="132"/>
      <c r="I6" s="179"/>
      <c r="J6" s="175"/>
      <c r="K6" s="180">
        <f>ROUND((F6+F6*$E$11+F6*$E$12+F6*$E$11*$E$12)/(1-$E$14),2)</f>
        <v>7956.54</v>
      </c>
      <c r="L6" s="181">
        <f t="shared" si="0"/>
        <v>95478.48</v>
      </c>
      <c r="M6" s="182"/>
      <c r="N6" s="183"/>
      <c r="ID6" s="121"/>
    </row>
    <row r="7" spans="2:238" ht="25.5" customHeight="1" thickBot="1">
      <c r="B7" s="130" t="s">
        <v>1206</v>
      </c>
      <c r="C7" s="130" t="str">
        <f>Áreas_edf_e_Descrição_postos!C18</f>
        <v>Copeiro</v>
      </c>
      <c r="D7" s="130" t="s">
        <v>906</v>
      </c>
      <c r="E7" s="130">
        <f>Áreas_edf_e_Descrição_postos!E18</f>
        <v>19</v>
      </c>
      <c r="F7" s="131">
        <f>ROUND('3_Copeiro'!E73,2)</f>
        <v>5723.25</v>
      </c>
      <c r="G7" s="131">
        <f>ROUND(F7*E7,2)</f>
        <v>108741.75</v>
      </c>
      <c r="H7" s="132"/>
      <c r="I7" s="179"/>
      <c r="J7" s="175"/>
      <c r="K7" s="180">
        <f>ROUND((F7+F7*$E$11+F7*$E$12+F7*$E$11*$E$12)/(1-$E$14),2)</f>
        <v>7196.94</v>
      </c>
      <c r="L7" s="181">
        <f t="shared" si="0"/>
        <v>136741.85999999999</v>
      </c>
      <c r="M7" s="600"/>
      <c r="N7" s="183"/>
      <c r="ID7" s="121"/>
    </row>
    <row r="8" spans="2:238" ht="21" thickBot="1">
      <c r="B8" s="133">
        <v>2</v>
      </c>
      <c r="C8" s="1144" t="s">
        <v>1172</v>
      </c>
      <c r="D8" s="1146"/>
      <c r="E8" s="1146"/>
      <c r="F8" s="1146"/>
      <c r="G8" s="1147"/>
      <c r="H8" s="129">
        <f>SUM(G9:G9)</f>
        <v>39802.85</v>
      </c>
      <c r="I8" s="174" t="s">
        <v>741</v>
      </c>
      <c r="J8" s="175"/>
      <c r="K8" s="184"/>
      <c r="L8" s="185">
        <f>ROUND((H8+H8*E11+H8*E12+H8*E11*E12)/(1-E14),2)+0.04</f>
        <v>50051.81</v>
      </c>
      <c r="M8" s="186">
        <f>L8*12</f>
        <v>600621.72</v>
      </c>
      <c r="N8" s="178">
        <f>M8/M10</f>
        <v>0.17145587320465988</v>
      </c>
      <c r="ID8" s="121"/>
    </row>
    <row r="9" spans="2:238" ht="54">
      <c r="B9" s="130" t="s">
        <v>907</v>
      </c>
      <c r="C9" s="136" t="s">
        <v>1173</v>
      </c>
      <c r="D9" s="130" t="s">
        <v>906</v>
      </c>
      <c r="E9" s="130">
        <v>1</v>
      </c>
      <c r="F9" s="135">
        <f>'Materiais de consumo'!Q50</f>
        <v>39802.845571428559</v>
      </c>
      <c r="G9" s="481">
        <f>ROUND(F9,2)</f>
        <v>39802.85</v>
      </c>
      <c r="H9" s="132"/>
      <c r="I9" s="179"/>
      <c r="J9" s="175"/>
      <c r="K9" s="187"/>
      <c r="L9" s="188"/>
      <c r="M9" s="182"/>
      <c r="N9" s="168"/>
      <c r="ID9" s="121"/>
    </row>
    <row r="10" spans="2:238" ht="21.75" customHeight="1" thickBot="1">
      <c r="B10" s="133">
        <v>6</v>
      </c>
      <c r="C10" s="128" t="s">
        <v>908</v>
      </c>
      <c r="D10" s="137"/>
      <c r="E10" s="137"/>
      <c r="F10" s="138"/>
      <c r="G10" s="138"/>
      <c r="H10" s="139"/>
      <c r="I10" s="190"/>
      <c r="J10" s="191"/>
      <c r="K10" s="192"/>
      <c r="L10" s="193">
        <f>SUM(L5:L7,L8)</f>
        <v>291922.39999999997</v>
      </c>
      <c r="M10" s="193">
        <f>M4+M8</f>
        <v>3503068.8</v>
      </c>
      <c r="N10" s="173">
        <f>SUM(N4:N9)</f>
        <v>1</v>
      </c>
      <c r="ID10" s="121"/>
    </row>
    <row r="11" spans="2:238" ht="20.25">
      <c r="B11" s="140" t="s">
        <v>909</v>
      </c>
      <c r="C11" s="130" t="s">
        <v>910</v>
      </c>
      <c r="D11" s="130"/>
      <c r="E11" s="141">
        <v>2.5000000000000001E-3</v>
      </c>
      <c r="F11" s="142"/>
      <c r="G11" s="143"/>
      <c r="H11" s="129">
        <f>ROUND(E11*(H4+H8),2)</f>
        <v>580.37</v>
      </c>
      <c r="I11" s="174" t="s">
        <v>743</v>
      </c>
      <c r="J11" s="194"/>
      <c r="K11" s="195"/>
      <c r="ID11" s="121"/>
    </row>
    <row r="12" spans="2:238" ht="20.25">
      <c r="B12" s="144" t="s">
        <v>911</v>
      </c>
      <c r="C12" s="134" t="s">
        <v>912</v>
      </c>
      <c r="D12" s="134"/>
      <c r="E12" s="145">
        <v>0.18348499928648912</v>
      </c>
      <c r="F12" s="146"/>
      <c r="G12" s="147"/>
      <c r="H12" s="129">
        <f>ROUND(E12*(H4+H8+H11),2)</f>
        <v>42701.89</v>
      </c>
      <c r="I12" s="174" t="s">
        <v>745</v>
      </c>
      <c r="J12" s="194"/>
      <c r="ID12" s="121"/>
    </row>
    <row r="13" spans="2:238" ht="20.25">
      <c r="B13" s="1134" t="s">
        <v>963</v>
      </c>
      <c r="C13" s="1134"/>
      <c r="D13" s="1134"/>
      <c r="E13" s="1135"/>
      <c r="F13" s="1135"/>
      <c r="G13" s="1134"/>
      <c r="H13" s="481">
        <f>H11+H12</f>
        <v>43282.26</v>
      </c>
      <c r="I13" s="196"/>
      <c r="J13" s="194"/>
      <c r="ID13" s="121"/>
    </row>
    <row r="14" spans="2:238" ht="18">
      <c r="B14" s="148" t="s">
        <v>914</v>
      </c>
      <c r="C14" s="149" t="s">
        <v>915</v>
      </c>
      <c r="D14" s="150"/>
      <c r="E14" s="151">
        <f>SUM(D15:D17)</f>
        <v>5.6499999999999995E-2</v>
      </c>
      <c r="F14" s="152" t="s">
        <v>916</v>
      </c>
      <c r="G14" s="153" t="s">
        <v>917</v>
      </c>
      <c r="H14" s="131">
        <f>E14*H23</f>
        <v>16493.615600000001</v>
      </c>
      <c r="I14" s="197"/>
      <c r="J14" s="198"/>
      <c r="ID14" s="121"/>
    </row>
    <row r="15" spans="2:238" ht="18">
      <c r="B15" s="140" t="s">
        <v>918</v>
      </c>
      <c r="C15" s="154" t="s">
        <v>919</v>
      </c>
      <c r="D15" s="155">
        <v>0.02</v>
      </c>
      <c r="E15" s="156"/>
      <c r="F15" s="157"/>
      <c r="G15" s="157"/>
      <c r="H15" s="158"/>
      <c r="I15" s="199"/>
      <c r="J15" s="194"/>
      <c r="ID15" s="121"/>
    </row>
    <row r="16" spans="2:238" ht="18">
      <c r="B16" s="140" t="s">
        <v>920</v>
      </c>
      <c r="C16" s="154" t="s">
        <v>921</v>
      </c>
      <c r="D16" s="155">
        <v>6.4999999999999997E-3</v>
      </c>
      <c r="E16" s="159"/>
      <c r="F16" s="160"/>
      <c r="G16" s="160"/>
      <c r="H16" s="158"/>
      <c r="I16" s="199"/>
      <c r="J16" s="194"/>
      <c r="ID16" s="121"/>
    </row>
    <row r="17" spans="2:245" ht="18">
      <c r="B17" s="161" t="s">
        <v>922</v>
      </c>
      <c r="C17" s="154" t="s">
        <v>923</v>
      </c>
      <c r="D17" s="155">
        <v>0.03</v>
      </c>
      <c r="E17" s="159"/>
      <c r="F17" s="160"/>
      <c r="G17" s="160"/>
      <c r="H17" s="162"/>
      <c r="I17" s="199"/>
      <c r="J17" s="194"/>
      <c r="ID17" s="121"/>
    </row>
    <row r="18" spans="2:245" ht="18">
      <c r="B18" s="1136" t="s">
        <v>924</v>
      </c>
      <c r="C18" s="1137"/>
      <c r="D18" s="1137"/>
      <c r="E18" s="1137"/>
      <c r="F18" s="1137"/>
      <c r="G18" s="1137"/>
      <c r="H18" s="1138"/>
      <c r="I18" s="199"/>
      <c r="J18" s="194"/>
      <c r="ID18" s="121"/>
    </row>
    <row r="19" spans="2:245" ht="18">
      <c r="B19" s="1139" t="s">
        <v>1353</v>
      </c>
      <c r="C19" s="1139"/>
      <c r="D19" s="1139"/>
      <c r="E19" s="1139"/>
      <c r="F19" s="1139"/>
      <c r="G19" s="1139"/>
      <c r="H19" s="1139"/>
      <c r="I19" s="199"/>
      <c r="J19" s="194"/>
      <c r="ID19" s="121"/>
    </row>
    <row r="20" spans="2:245" ht="18">
      <c r="B20" s="1134" t="s">
        <v>925</v>
      </c>
      <c r="C20" s="1134"/>
      <c r="D20" s="1134"/>
      <c r="E20" s="1134"/>
      <c r="F20" s="1134"/>
      <c r="G20" s="1134"/>
      <c r="H20" s="1134"/>
      <c r="I20" s="199"/>
      <c r="J20" s="194"/>
      <c r="ID20" s="121"/>
    </row>
    <row r="21" spans="2:245" ht="18">
      <c r="B21" s="1134" t="s">
        <v>926</v>
      </c>
      <c r="C21" s="1134"/>
      <c r="D21" s="1134"/>
      <c r="E21" s="1134"/>
      <c r="F21" s="1134"/>
      <c r="G21" s="1134"/>
      <c r="H21" s="1134"/>
      <c r="I21" s="199"/>
      <c r="J21" s="194"/>
      <c r="ID21" s="121"/>
    </row>
    <row r="22" spans="2:245" ht="18">
      <c r="B22" s="1154" t="s">
        <v>927</v>
      </c>
      <c r="C22" s="1154"/>
      <c r="D22" s="1154"/>
      <c r="E22" s="1154"/>
      <c r="F22" s="1154"/>
      <c r="G22" s="1154"/>
      <c r="H22" s="1154"/>
      <c r="I22" s="199"/>
      <c r="J22" s="194"/>
      <c r="ID22" s="121"/>
    </row>
    <row r="23" spans="2:245" ht="21" customHeight="1">
      <c r="B23" s="1155" t="s">
        <v>928</v>
      </c>
      <c r="C23" s="1155"/>
      <c r="D23" s="1155"/>
      <c r="E23" s="1155"/>
      <c r="F23" s="1155"/>
      <c r="G23" s="127" t="s">
        <v>929</v>
      </c>
      <c r="H23" s="163">
        <f>ROUND((H4+H8+H11+H12)/(1-E14),2)</f>
        <v>291922.40000000002</v>
      </c>
      <c r="I23" s="196"/>
      <c r="J23" s="175"/>
      <c r="ID23" s="121"/>
    </row>
    <row r="24" spans="2:245" ht="22.5" customHeight="1">
      <c r="B24" s="1156" t="s">
        <v>930</v>
      </c>
      <c r="C24" s="1156"/>
      <c r="D24" s="1156"/>
      <c r="E24" s="1156"/>
      <c r="F24" s="1156"/>
      <c r="G24" s="1156"/>
      <c r="H24" s="235">
        <f>H23*12</f>
        <v>3503068.8000000003</v>
      </c>
    </row>
    <row r="26" spans="2:245" ht="18">
      <c r="G26" s="164" t="s">
        <v>931</v>
      </c>
      <c r="H26" s="165">
        <f>(H14+H13)/(H4+H8)</f>
        <v>0.25749201667981064</v>
      </c>
      <c r="J26" s="200" t="e">
        <f>H26*(H4+H8+#REF!+#REF!)</f>
        <v>#REF!</v>
      </c>
      <c r="K26" s="201">
        <f>H14+H13</f>
        <v>59775.875599999999</v>
      </c>
    </row>
    <row r="29" spans="2:245" s="120" customFormat="1">
      <c r="H29" s="122"/>
      <c r="I29" s="122"/>
      <c r="J29" s="123"/>
      <c r="K29" s="122"/>
      <c r="L29" s="122"/>
      <c r="IE29" s="121"/>
      <c r="IF29" s="121"/>
      <c r="IG29" s="121"/>
      <c r="IH29" s="121"/>
      <c r="II29" s="121"/>
      <c r="IJ29" s="121"/>
      <c r="IK29" s="121"/>
    </row>
    <row r="30" spans="2:245" ht="18">
      <c r="B30" s="1163" t="s">
        <v>964</v>
      </c>
      <c r="C30" s="1164"/>
      <c r="D30" s="1164"/>
      <c r="E30" s="1164"/>
      <c r="F30" s="1164"/>
      <c r="G30" s="1164"/>
      <c r="H30" s="1165"/>
      <c r="I30" s="250"/>
      <c r="J30" s="250"/>
    </row>
    <row r="31" spans="2:245" ht="18">
      <c r="B31" s="1177" t="s">
        <v>965</v>
      </c>
      <c r="C31" s="1177"/>
      <c r="D31" s="1177"/>
      <c r="E31" s="1177"/>
      <c r="F31" s="1177"/>
      <c r="G31" s="236" t="s">
        <v>966</v>
      </c>
      <c r="H31" s="236" t="s">
        <v>967</v>
      </c>
      <c r="I31" s="251"/>
      <c r="J31" s="252"/>
    </row>
    <row r="32" spans="2:245" ht="18">
      <c r="B32" s="1176" t="s">
        <v>968</v>
      </c>
      <c r="C32" s="1176"/>
      <c r="D32" s="1176"/>
      <c r="E32" s="1176"/>
      <c r="F32" s="1176"/>
      <c r="G32" s="238"/>
      <c r="H32" s="239">
        <f>H23</f>
        <v>291922.40000000002</v>
      </c>
      <c r="I32" s="253"/>
      <c r="J32" s="252"/>
    </row>
    <row r="33" spans="2:10" ht="18">
      <c r="B33" s="1176" t="s">
        <v>969</v>
      </c>
      <c r="C33" s="1176"/>
      <c r="D33" s="1176"/>
      <c r="E33" s="1176"/>
      <c r="F33" s="1176"/>
      <c r="G33" s="240">
        <v>0.32</v>
      </c>
      <c r="H33" s="239">
        <f>G33*H32</f>
        <v>93415.168000000005</v>
      </c>
      <c r="I33" s="253"/>
      <c r="J33" s="252"/>
    </row>
    <row r="34" spans="2:10" ht="18">
      <c r="B34" s="1176" t="s">
        <v>970</v>
      </c>
      <c r="C34" s="1176"/>
      <c r="D34" s="1176"/>
      <c r="E34" s="1176"/>
      <c r="F34" s="1176"/>
      <c r="G34" s="240">
        <v>0.15</v>
      </c>
      <c r="H34" s="239">
        <f>G34*H33</f>
        <v>14012.2752</v>
      </c>
      <c r="I34" s="253"/>
      <c r="J34" s="252"/>
    </row>
    <row r="35" spans="2:10" ht="18">
      <c r="B35" s="1176" t="s">
        <v>971</v>
      </c>
      <c r="C35" s="1176"/>
      <c r="D35" s="1176"/>
      <c r="E35" s="1176"/>
      <c r="F35" s="1176"/>
      <c r="G35" s="240">
        <v>0.1</v>
      </c>
      <c r="H35" s="239">
        <f>IF((H33-20000)&lt;=0,0,(H33-20000)*G35)</f>
        <v>7341.5168000000012</v>
      </c>
      <c r="I35" s="253"/>
      <c r="J35" s="252"/>
    </row>
    <row r="36" spans="2:10" ht="18">
      <c r="B36" s="1173" t="s">
        <v>972</v>
      </c>
      <c r="C36" s="1174"/>
      <c r="D36" s="1174"/>
      <c r="E36" s="1174"/>
      <c r="F36" s="1175"/>
      <c r="G36" s="240"/>
      <c r="H36" s="241">
        <f>H34+H35</f>
        <v>21353.792000000001</v>
      </c>
      <c r="I36" s="254"/>
      <c r="J36" s="252"/>
    </row>
    <row r="37" spans="2:10" ht="18">
      <c r="B37" s="1176" t="s">
        <v>973</v>
      </c>
      <c r="C37" s="1176"/>
      <c r="D37" s="1176"/>
      <c r="E37" s="1176"/>
      <c r="F37" s="1176"/>
      <c r="G37" s="240">
        <v>0.32</v>
      </c>
      <c r="H37" s="239">
        <f>H32*G37</f>
        <v>93415.168000000005</v>
      </c>
      <c r="I37" s="255"/>
      <c r="J37" s="252"/>
    </row>
    <row r="38" spans="2:10" ht="18">
      <c r="B38" s="1173" t="s">
        <v>974</v>
      </c>
      <c r="C38" s="1174"/>
      <c r="D38" s="1174"/>
      <c r="E38" s="1174"/>
      <c r="F38" s="1175"/>
      <c r="G38" s="242">
        <v>0.09</v>
      </c>
      <c r="H38" s="243">
        <f>G38*H37</f>
        <v>8407.3651200000004</v>
      </c>
      <c r="I38" s="254"/>
      <c r="J38" s="252"/>
    </row>
    <row r="39" spans="2:10" ht="18">
      <c r="B39" s="1173" t="s">
        <v>975</v>
      </c>
      <c r="C39" s="1174"/>
      <c r="D39" s="1174"/>
      <c r="E39" s="1174"/>
      <c r="F39" s="1174"/>
      <c r="G39" s="244" t="s">
        <v>976</v>
      </c>
      <c r="H39" s="245">
        <f>H36+H38</f>
        <v>29761.157120000003</v>
      </c>
      <c r="I39" s="256"/>
      <c r="J39" s="257" t="s">
        <v>977</v>
      </c>
    </row>
    <row r="40" spans="2:10" ht="18">
      <c r="B40" s="1173" t="s">
        <v>978</v>
      </c>
      <c r="C40" s="1174"/>
      <c r="D40" s="1174"/>
      <c r="E40" s="1174"/>
      <c r="F40" s="1174"/>
      <c r="G40" s="246" t="s">
        <v>749</v>
      </c>
      <c r="H40" s="247">
        <f>H12</f>
        <v>42701.89</v>
      </c>
      <c r="I40" s="256"/>
      <c r="J40" s="258" t="str">
        <f>IF(H40&gt;=H39,"ok","desclassificar")</f>
        <v>ok</v>
      </c>
    </row>
    <row r="41" spans="2:10" ht="18">
      <c r="B41" s="1166" t="s">
        <v>979</v>
      </c>
      <c r="C41" s="1166"/>
      <c r="D41" s="1166"/>
      <c r="E41" s="1166"/>
      <c r="F41" s="1166"/>
      <c r="G41" s="1167"/>
      <c r="H41" s="248" t="s">
        <v>980</v>
      </c>
      <c r="I41" s="250"/>
      <c r="J41" s="258" t="s">
        <v>981</v>
      </c>
    </row>
    <row r="42" spans="2:10" ht="22.5" customHeight="1">
      <c r="B42" s="237" t="s">
        <v>982</v>
      </c>
      <c r="C42" s="1168" t="s">
        <v>983</v>
      </c>
      <c r="D42" s="1168"/>
      <c r="E42" s="1168"/>
      <c r="F42" s="1168"/>
      <c r="G42" s="1168"/>
      <c r="H42" s="1169"/>
      <c r="I42" s="250"/>
      <c r="J42" s="250"/>
    </row>
    <row r="43" spans="2:10" ht="40.5" customHeight="1">
      <c r="B43" s="249" t="s">
        <v>15</v>
      </c>
      <c r="C43" s="1170" t="s">
        <v>984</v>
      </c>
      <c r="D43" s="1171"/>
      <c r="E43" s="1171"/>
      <c r="F43" s="1171"/>
      <c r="G43" s="1171"/>
      <c r="H43" s="1172"/>
      <c r="I43" s="259"/>
      <c r="J43" s="260"/>
    </row>
  </sheetData>
  <mergeCells count="28">
    <mergeCell ref="B41:G41"/>
    <mergeCell ref="C42:H42"/>
    <mergeCell ref="C43:H43"/>
    <mergeCell ref="K3:K4"/>
    <mergeCell ref="N2:N3"/>
    <mergeCell ref="B36:F36"/>
    <mergeCell ref="B37:F37"/>
    <mergeCell ref="B38:F38"/>
    <mergeCell ref="B39:F39"/>
    <mergeCell ref="B40:F40"/>
    <mergeCell ref="B31:F31"/>
    <mergeCell ref="B32:F32"/>
    <mergeCell ref="B33:F33"/>
    <mergeCell ref="B34:F34"/>
    <mergeCell ref="B35:F35"/>
    <mergeCell ref="B21:H21"/>
    <mergeCell ref="B23:F23"/>
    <mergeCell ref="B24:G24"/>
    <mergeCell ref="B30:H30"/>
    <mergeCell ref="B13:G13"/>
    <mergeCell ref="B18:H18"/>
    <mergeCell ref="B19:H19"/>
    <mergeCell ref="B20:H20"/>
    <mergeCell ref="B2:H2"/>
    <mergeCell ref="K2:M2"/>
    <mergeCell ref="C4:G4"/>
    <mergeCell ref="C8:G8"/>
    <mergeCell ref="B22:H22"/>
  </mergeCells>
  <conditionalFormatting sqref="J40">
    <cfRule type="expression" dxfId="14" priority="1">
      <formula>$H$40&lt;$H$39</formula>
    </cfRule>
    <cfRule type="expression" dxfId="13" priority="2">
      <formula>$H$40=$H$39</formula>
    </cfRule>
    <cfRule type="expression" dxfId="12" priority="3">
      <formula>$H$40&gt;$H$39</formula>
    </cfRule>
  </conditionalFormatting>
  <printOptions horizontalCentered="1" verticalCentered="1"/>
  <pageMargins left="0.59055118110236204" right="0.39370078740157499" top="0.39370078740157499" bottom="0.59055118110236204" header="0.511811023622047" footer="0.511811023622047"/>
  <pageSetup paperSize="9" scale="32" firstPageNumber="0" orientation="landscape" useFirstPageNumber="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2:IM31"/>
  <sheetViews>
    <sheetView showGridLines="0" zoomScale="120" zoomScaleNormal="120" zoomScaleSheetLayoutView="80" workbookViewId="0">
      <selection activeCell="C9" sqref="C9"/>
    </sheetView>
  </sheetViews>
  <sheetFormatPr defaultColWidth="9.7109375" defaultRowHeight="18"/>
  <cols>
    <col min="1" max="1" width="9.7109375" style="439"/>
    <col min="2" max="2" width="5.28515625" style="437" customWidth="1"/>
    <col min="3" max="3" width="40.140625" style="438" customWidth="1"/>
    <col min="4" max="4" width="18.7109375" style="438" customWidth="1"/>
    <col min="5" max="5" width="16.42578125" style="438" customWidth="1"/>
    <col min="6" max="10" width="16" style="438" customWidth="1"/>
    <col min="11" max="11" width="19.140625" style="438" customWidth="1"/>
    <col min="12" max="12" width="21.85546875" style="438" customWidth="1"/>
    <col min="13" max="13" width="18.42578125" style="438" bestFit="1" customWidth="1"/>
    <col min="14" max="14" width="31.5703125" style="438" customWidth="1"/>
    <col min="15" max="15" width="29.28515625" style="438" customWidth="1"/>
    <col min="16" max="16" width="33" style="438" customWidth="1"/>
    <col min="17" max="17" width="33.7109375" style="438" customWidth="1"/>
    <col min="18" max="18" width="31.28515625" style="438" customWidth="1"/>
    <col min="19" max="19" width="33.28515625" style="438" customWidth="1"/>
    <col min="20" max="21" width="33.5703125" style="438" customWidth="1"/>
    <col min="22" max="22" width="34.5703125" style="438" customWidth="1"/>
    <col min="23" max="23" width="36" style="438" customWidth="1"/>
    <col min="24" max="24" width="24.85546875" style="438" customWidth="1"/>
    <col min="25" max="246" width="9.7109375" style="438"/>
    <col min="247" max="16384" width="9.7109375" style="439"/>
  </cols>
  <sheetData>
    <row r="2" spans="2:247" ht="18.75" thickBot="1">
      <c r="D2" s="438" t="s">
        <v>1310</v>
      </c>
      <c r="E2" s="438" t="s">
        <v>1312</v>
      </c>
      <c r="F2" s="438" t="s">
        <v>1313</v>
      </c>
      <c r="G2" s="438" t="s">
        <v>1316</v>
      </c>
      <c r="H2" s="438" t="s">
        <v>1314</v>
      </c>
      <c r="IL2" s="439"/>
    </row>
    <row r="3" spans="2:247" ht="22.5" customHeight="1" thickBot="1">
      <c r="C3" s="1178" t="s">
        <v>1201</v>
      </c>
      <c r="D3" s="1179"/>
      <c r="E3" s="1179"/>
      <c r="F3" s="1179"/>
      <c r="G3" s="1179"/>
      <c r="H3" s="1179"/>
      <c r="I3" s="1179"/>
      <c r="J3" s="1179"/>
      <c r="K3" s="1179"/>
      <c r="L3" s="1179"/>
      <c r="M3" s="1179"/>
      <c r="N3" s="1180"/>
      <c r="IM3" s="438"/>
    </row>
    <row r="4" spans="2:247" ht="48" customHeight="1">
      <c r="C4" s="493" t="s">
        <v>17</v>
      </c>
      <c r="D4" s="494" t="s">
        <v>1192</v>
      </c>
      <c r="E4" s="494" t="s">
        <v>1194</v>
      </c>
      <c r="F4" s="494" t="s">
        <v>1195</v>
      </c>
      <c r="G4" s="494" t="s">
        <v>1193</v>
      </c>
      <c r="H4" s="494" t="s">
        <v>1196</v>
      </c>
      <c r="I4" s="770" t="s">
        <v>890</v>
      </c>
      <c r="J4" s="770" t="s">
        <v>20</v>
      </c>
      <c r="K4" s="770" t="s">
        <v>1356</v>
      </c>
      <c r="L4" s="769" t="s">
        <v>1357</v>
      </c>
      <c r="M4" s="495" t="s">
        <v>1197</v>
      </c>
      <c r="N4" s="495" t="s">
        <v>1359</v>
      </c>
      <c r="IJ4" s="439"/>
      <c r="IK4" s="439"/>
      <c r="IL4" s="439"/>
    </row>
    <row r="5" spans="2:247" ht="24.75" customHeight="1">
      <c r="C5" s="447" t="s">
        <v>1044</v>
      </c>
      <c r="D5" s="491"/>
      <c r="E5" s="622">
        <f>3508.43</f>
        <v>3508.43</v>
      </c>
      <c r="F5" s="622">
        <f>3614.24</f>
        <v>3614.24</v>
      </c>
      <c r="G5" s="622">
        <v>3508.37</v>
      </c>
      <c r="H5" s="491"/>
      <c r="I5" s="492">
        <f>AVERAGE(D5:H5)</f>
        <v>3543.6800000000003</v>
      </c>
      <c r="J5" s="492">
        <f>MEDIAN(D5:H5)</f>
        <v>3508.43</v>
      </c>
      <c r="K5" s="492">
        <f>SMALL(I5:J5,1)</f>
        <v>3508.43</v>
      </c>
      <c r="L5" s="763">
        <f>SMALL((D5:H5),1)</f>
        <v>3508.37</v>
      </c>
      <c r="M5" s="492">
        <v>3222.4</v>
      </c>
      <c r="N5" s="631">
        <f>L5-M5</f>
        <v>285.9699999999998</v>
      </c>
      <c r="O5" s="767"/>
      <c r="P5" s="767"/>
      <c r="IJ5" s="439"/>
      <c r="IK5" s="439"/>
      <c r="IL5" s="439"/>
    </row>
    <row r="6" spans="2:247" ht="24.75" customHeight="1">
      <c r="C6" s="447" t="s">
        <v>1046</v>
      </c>
      <c r="D6" s="620">
        <f>3137.16</f>
        <v>3137.16</v>
      </c>
      <c r="E6" s="622">
        <f>3247.83</f>
        <v>3247.83</v>
      </c>
      <c r="F6" s="622">
        <f>2942.8</f>
        <v>2942.8</v>
      </c>
      <c r="G6" s="622">
        <v>3247.71</v>
      </c>
      <c r="H6" s="622">
        <v>3572.61</v>
      </c>
      <c r="I6" s="492">
        <f t="shared" ref="I6:I7" si="0">AVERAGE(D6:H6)</f>
        <v>3229.6220000000003</v>
      </c>
      <c r="J6" s="492">
        <f t="shared" ref="J6:J7" si="1">MEDIAN(D6:H6)</f>
        <v>3247.71</v>
      </c>
      <c r="K6" s="492">
        <f t="shared" ref="K6:K7" si="2">SMALL(I6:J6,1)</f>
        <v>3229.6220000000003</v>
      </c>
      <c r="L6" s="763">
        <v>2691.93</v>
      </c>
      <c r="M6" s="492">
        <v>2405.96</v>
      </c>
      <c r="N6" s="631">
        <f t="shared" ref="N6:N7" si="3">L6-M6</f>
        <v>285.9699999999998</v>
      </c>
      <c r="O6" s="767"/>
      <c r="P6" s="767"/>
      <c r="S6" s="767"/>
      <c r="IJ6" s="439"/>
      <c r="IK6" s="439"/>
      <c r="IL6" s="439"/>
    </row>
    <row r="7" spans="2:247" ht="24.75" customHeight="1">
      <c r="C7" s="447" t="s">
        <v>1191</v>
      </c>
      <c r="D7" s="491"/>
      <c r="E7" s="622">
        <f>2319.64</f>
        <v>2319.64</v>
      </c>
      <c r="F7" s="622">
        <f>2077.35</f>
        <v>2077.35</v>
      </c>
      <c r="G7" s="622">
        <v>2319.5500000000002</v>
      </c>
      <c r="H7" s="622">
        <v>2551.6</v>
      </c>
      <c r="I7" s="492">
        <f t="shared" si="0"/>
        <v>2317.0349999999999</v>
      </c>
      <c r="J7" s="492">
        <f t="shared" si="1"/>
        <v>2319.5950000000003</v>
      </c>
      <c r="K7" s="492">
        <f t="shared" si="2"/>
        <v>2317.0349999999999</v>
      </c>
      <c r="L7" s="763">
        <v>2319.5500000000002</v>
      </c>
      <c r="M7" s="492">
        <v>1629.62</v>
      </c>
      <c r="N7" s="631">
        <f t="shared" si="3"/>
        <v>689.93000000000029</v>
      </c>
      <c r="O7" s="767"/>
      <c r="P7" s="767"/>
      <c r="S7" s="767"/>
      <c r="IJ7" s="439"/>
      <c r="IK7" s="439"/>
      <c r="IL7" s="439"/>
    </row>
    <row r="8" spans="2:247">
      <c r="C8" s="772" t="s">
        <v>15</v>
      </c>
      <c r="D8" s="1184" t="s">
        <v>1358</v>
      </c>
      <c r="E8" s="1184"/>
      <c r="F8" s="1184"/>
      <c r="G8" s="1184"/>
      <c r="H8" s="1184"/>
      <c r="I8" s="1184"/>
      <c r="J8" s="1184"/>
      <c r="K8" s="1184"/>
      <c r="L8" s="1184"/>
      <c r="M8" s="771"/>
      <c r="N8" s="771"/>
    </row>
    <row r="9" spans="2:247">
      <c r="M9" s="773"/>
    </row>
    <row r="11" spans="2:247">
      <c r="IK11" s="439"/>
      <c r="IL11" s="439"/>
    </row>
    <row r="12" spans="2:247" s="435" customFormat="1" ht="15">
      <c r="B12" s="440"/>
      <c r="C12" s="441"/>
      <c r="D12" s="441"/>
      <c r="E12" s="441" t="s">
        <v>1311</v>
      </c>
      <c r="F12" s="441" t="s">
        <v>1311</v>
      </c>
      <c r="G12" s="441" t="s">
        <v>1311</v>
      </c>
      <c r="H12" s="441" t="s">
        <v>1311</v>
      </c>
      <c r="I12" s="441" t="s">
        <v>1311</v>
      </c>
      <c r="J12" s="441" t="s">
        <v>1311</v>
      </c>
      <c r="K12" s="441" t="s">
        <v>1311</v>
      </c>
      <c r="L12" s="441"/>
      <c r="M12" s="441"/>
      <c r="N12" s="451"/>
      <c r="O12" s="451"/>
      <c r="P12" s="451"/>
      <c r="Q12" s="45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c r="AW12" s="441"/>
      <c r="AX12" s="441"/>
      <c r="AY12" s="441"/>
      <c r="AZ12" s="441"/>
      <c r="BA12" s="441"/>
      <c r="BB12" s="441"/>
      <c r="BC12" s="441"/>
      <c r="BD12" s="441"/>
      <c r="BE12" s="441"/>
      <c r="BF12" s="441"/>
      <c r="BG12" s="441"/>
      <c r="BH12" s="441"/>
      <c r="BI12" s="441"/>
      <c r="BJ12" s="441"/>
      <c r="BK12" s="441"/>
      <c r="BL12" s="441"/>
      <c r="BM12" s="441"/>
      <c r="BN12" s="441"/>
      <c r="BO12" s="441"/>
      <c r="BP12" s="441"/>
      <c r="BQ12" s="441"/>
      <c r="BR12" s="441"/>
      <c r="BS12" s="441"/>
      <c r="BT12" s="441"/>
      <c r="BU12" s="441"/>
      <c r="BV12" s="441"/>
      <c r="BW12" s="441"/>
      <c r="BX12" s="441"/>
      <c r="BY12" s="441"/>
      <c r="BZ12" s="441"/>
      <c r="CA12" s="441"/>
      <c r="CB12" s="441"/>
      <c r="CC12" s="441"/>
      <c r="CD12" s="441"/>
      <c r="CE12" s="441"/>
      <c r="CF12" s="441"/>
      <c r="CG12" s="441"/>
      <c r="CH12" s="441"/>
      <c r="CI12" s="441"/>
      <c r="CJ12" s="441"/>
      <c r="CK12" s="441"/>
      <c r="CL12" s="441"/>
      <c r="CM12" s="441"/>
      <c r="CN12" s="441"/>
      <c r="CO12" s="441"/>
      <c r="CP12" s="441"/>
      <c r="CQ12" s="441"/>
      <c r="CR12" s="441"/>
      <c r="CS12" s="441"/>
      <c r="CT12" s="441"/>
      <c r="CU12" s="441"/>
      <c r="CV12" s="441"/>
      <c r="CW12" s="441"/>
      <c r="CX12" s="441"/>
      <c r="CY12" s="441"/>
      <c r="CZ12" s="441"/>
      <c r="DA12" s="441"/>
      <c r="DB12" s="441"/>
      <c r="DC12" s="441"/>
      <c r="DD12" s="441"/>
      <c r="DE12" s="441"/>
      <c r="DF12" s="441"/>
      <c r="DG12" s="441"/>
      <c r="DH12" s="441"/>
      <c r="DI12" s="441"/>
      <c r="DJ12" s="441"/>
      <c r="DK12" s="441"/>
      <c r="DL12" s="441"/>
      <c r="DM12" s="441"/>
      <c r="DN12" s="441"/>
      <c r="DO12" s="441"/>
      <c r="DP12" s="441"/>
      <c r="DQ12" s="441"/>
      <c r="DR12" s="441"/>
      <c r="DS12" s="441"/>
      <c r="DT12" s="441"/>
      <c r="DU12" s="441"/>
      <c r="DV12" s="441"/>
      <c r="DW12" s="441"/>
      <c r="DX12" s="441"/>
      <c r="DY12" s="441"/>
      <c r="DZ12" s="441"/>
      <c r="EA12" s="441"/>
      <c r="EB12" s="441"/>
      <c r="EC12" s="441"/>
      <c r="ED12" s="441"/>
      <c r="EE12" s="441"/>
      <c r="EF12" s="441"/>
      <c r="EG12" s="441"/>
      <c r="EH12" s="441"/>
      <c r="EI12" s="441"/>
      <c r="EJ12" s="441"/>
      <c r="EK12" s="441"/>
      <c r="EL12" s="441"/>
      <c r="EM12" s="441"/>
      <c r="EN12" s="441"/>
      <c r="EO12" s="441"/>
      <c r="EP12" s="441"/>
      <c r="EQ12" s="441"/>
      <c r="ER12" s="441"/>
      <c r="ES12" s="441"/>
      <c r="ET12" s="441"/>
      <c r="EU12" s="441"/>
      <c r="EV12" s="441"/>
      <c r="EW12" s="441"/>
      <c r="EX12" s="441"/>
      <c r="EY12" s="441"/>
      <c r="EZ12" s="441"/>
      <c r="FA12" s="441"/>
      <c r="FB12" s="441"/>
      <c r="FC12" s="441"/>
      <c r="FD12" s="441"/>
      <c r="FE12" s="441"/>
      <c r="FF12" s="441"/>
      <c r="FG12" s="441"/>
      <c r="FH12" s="441"/>
      <c r="FI12" s="441"/>
      <c r="FJ12" s="441"/>
      <c r="FK12" s="441"/>
      <c r="FL12" s="441"/>
      <c r="FM12" s="441"/>
      <c r="FN12" s="441"/>
      <c r="FO12" s="441"/>
      <c r="FP12" s="441"/>
      <c r="FQ12" s="441"/>
      <c r="FR12" s="441"/>
      <c r="FS12" s="441"/>
      <c r="FT12" s="441"/>
      <c r="FU12" s="441"/>
      <c r="FV12" s="441"/>
      <c r="FW12" s="441"/>
      <c r="FX12" s="441"/>
      <c r="FY12" s="441"/>
      <c r="FZ12" s="441"/>
      <c r="GA12" s="441"/>
      <c r="GB12" s="441"/>
      <c r="GC12" s="441"/>
      <c r="GD12" s="441"/>
      <c r="GE12" s="441"/>
      <c r="GF12" s="441"/>
      <c r="GG12" s="441"/>
      <c r="GH12" s="441"/>
      <c r="GI12" s="441"/>
      <c r="GJ12" s="441"/>
      <c r="GK12" s="441"/>
      <c r="GL12" s="441"/>
      <c r="GM12" s="441"/>
      <c r="GN12" s="441"/>
      <c r="GO12" s="441"/>
      <c r="GP12" s="441"/>
      <c r="GQ12" s="441"/>
      <c r="GR12" s="441"/>
      <c r="GS12" s="441"/>
      <c r="GT12" s="441"/>
      <c r="GU12" s="441"/>
      <c r="GV12" s="441"/>
      <c r="GW12" s="441"/>
      <c r="GX12" s="441"/>
      <c r="GY12" s="441"/>
      <c r="GZ12" s="441"/>
      <c r="HA12" s="441"/>
      <c r="HB12" s="441"/>
      <c r="HC12" s="441"/>
      <c r="HD12" s="441"/>
      <c r="HE12" s="441"/>
      <c r="HF12" s="441"/>
      <c r="HG12" s="441"/>
      <c r="HH12" s="441"/>
      <c r="HI12" s="441"/>
      <c r="HJ12" s="441"/>
      <c r="HK12" s="441"/>
      <c r="HL12" s="441"/>
      <c r="HM12" s="441"/>
      <c r="HN12" s="441"/>
      <c r="HO12" s="441"/>
      <c r="HP12" s="441"/>
      <c r="HQ12" s="441"/>
      <c r="HR12" s="441"/>
      <c r="HS12" s="441"/>
      <c r="HT12" s="441"/>
      <c r="HU12" s="441"/>
      <c r="HV12" s="441"/>
      <c r="HW12" s="441"/>
      <c r="HX12" s="441"/>
      <c r="HY12" s="441"/>
      <c r="HZ12" s="441"/>
      <c r="IA12" s="441"/>
      <c r="IB12" s="441"/>
      <c r="IC12" s="441"/>
      <c r="ID12" s="441"/>
      <c r="IE12" s="441"/>
      <c r="IF12" s="441"/>
      <c r="IG12" s="441"/>
    </row>
    <row r="13" spans="2:247" s="436" customFormat="1" ht="15.75">
      <c r="B13" s="442"/>
      <c r="C13" s="443"/>
      <c r="D13" s="443"/>
      <c r="E13" s="623">
        <v>4</v>
      </c>
      <c r="F13" s="623">
        <v>7</v>
      </c>
      <c r="G13" s="623">
        <v>6</v>
      </c>
      <c r="H13" s="623">
        <v>5</v>
      </c>
      <c r="I13" s="623">
        <v>8</v>
      </c>
      <c r="J13" s="623">
        <v>11</v>
      </c>
      <c r="K13" s="623">
        <v>13</v>
      </c>
      <c r="L13" s="443"/>
      <c r="M13" s="443"/>
      <c r="N13" s="443"/>
      <c r="O13" s="443"/>
      <c r="P13" s="443"/>
      <c r="Q13" s="443"/>
      <c r="R13" s="452"/>
      <c r="S13" s="443"/>
      <c r="T13" s="443"/>
      <c r="U13" s="443"/>
      <c r="V13" s="443"/>
      <c r="W13" s="443"/>
      <c r="X13" s="443"/>
      <c r="Y13" s="443"/>
      <c r="Z13" s="443"/>
      <c r="AA13" s="443"/>
      <c r="AB13" s="443"/>
      <c r="AC13" s="443"/>
      <c r="AD13" s="443"/>
      <c r="AE13" s="443"/>
      <c r="AF13" s="443"/>
      <c r="AG13" s="443"/>
      <c r="AH13" s="443"/>
      <c r="AI13" s="443"/>
      <c r="AJ13" s="443"/>
      <c r="AK13" s="443"/>
      <c r="AL13" s="443"/>
      <c r="AM13" s="443"/>
      <c r="AN13" s="443"/>
      <c r="AO13" s="443"/>
      <c r="AP13" s="443"/>
      <c r="AQ13" s="443"/>
      <c r="AR13" s="443"/>
      <c r="AS13" s="443"/>
      <c r="AT13" s="443"/>
      <c r="AU13" s="443"/>
      <c r="AV13" s="443"/>
      <c r="AW13" s="443"/>
      <c r="AX13" s="443"/>
      <c r="AY13" s="443"/>
      <c r="AZ13" s="443"/>
      <c r="BA13" s="443"/>
      <c r="BB13" s="443"/>
      <c r="BC13" s="443"/>
      <c r="BD13" s="443"/>
      <c r="BE13" s="443"/>
      <c r="BF13" s="443"/>
      <c r="BG13" s="443"/>
      <c r="BH13" s="443"/>
      <c r="BI13" s="443"/>
      <c r="BJ13" s="443"/>
      <c r="BK13" s="443"/>
      <c r="BL13" s="443"/>
      <c r="BM13" s="443"/>
      <c r="BN13" s="443"/>
      <c r="BO13" s="443"/>
      <c r="BP13" s="443"/>
      <c r="BQ13" s="443"/>
      <c r="BR13" s="443"/>
      <c r="BS13" s="443"/>
      <c r="BT13" s="443"/>
      <c r="BU13" s="443"/>
      <c r="BV13" s="443"/>
      <c r="BW13" s="443"/>
      <c r="BX13" s="443"/>
      <c r="BY13" s="443"/>
      <c r="BZ13" s="443"/>
      <c r="CA13" s="443"/>
      <c r="CB13" s="443"/>
      <c r="CC13" s="443"/>
      <c r="CD13" s="443"/>
      <c r="CE13" s="443"/>
      <c r="CF13" s="443"/>
      <c r="CG13" s="443"/>
      <c r="CH13" s="443"/>
      <c r="CI13" s="443"/>
      <c r="CJ13" s="443"/>
      <c r="CK13" s="443"/>
      <c r="CL13" s="443"/>
      <c r="CM13" s="443"/>
      <c r="CN13" s="443"/>
      <c r="CO13" s="443"/>
      <c r="CP13" s="443"/>
      <c r="CQ13" s="443"/>
      <c r="CR13" s="443"/>
      <c r="CS13" s="443"/>
      <c r="CT13" s="443"/>
      <c r="CU13" s="443"/>
      <c r="CV13" s="443"/>
      <c r="CW13" s="443"/>
      <c r="CX13" s="443"/>
      <c r="CY13" s="443"/>
      <c r="CZ13" s="443"/>
      <c r="DA13" s="443"/>
      <c r="DB13" s="443"/>
      <c r="DC13" s="443"/>
      <c r="DD13" s="443"/>
      <c r="DE13" s="443"/>
      <c r="DF13" s="443"/>
      <c r="DG13" s="443"/>
      <c r="DH13" s="443"/>
      <c r="DI13" s="443"/>
      <c r="DJ13" s="443"/>
      <c r="DK13" s="443"/>
      <c r="DL13" s="443"/>
      <c r="DM13" s="443"/>
      <c r="DN13" s="443"/>
      <c r="DO13" s="443"/>
      <c r="DP13" s="443"/>
      <c r="DQ13" s="443"/>
      <c r="DR13" s="443"/>
      <c r="DS13" s="443"/>
      <c r="DT13" s="443"/>
      <c r="DU13" s="443"/>
      <c r="DV13" s="443"/>
      <c r="DW13" s="443"/>
      <c r="DX13" s="443"/>
      <c r="DY13" s="443"/>
      <c r="DZ13" s="443"/>
      <c r="EA13" s="443"/>
      <c r="EB13" s="443"/>
      <c r="EC13" s="443"/>
      <c r="ED13" s="443"/>
      <c r="EE13" s="443"/>
      <c r="EF13" s="443"/>
      <c r="EG13" s="443"/>
      <c r="EH13" s="443"/>
      <c r="EI13" s="443"/>
      <c r="EJ13" s="443"/>
      <c r="EK13" s="443"/>
      <c r="EL13" s="443"/>
      <c r="EM13" s="443"/>
      <c r="EN13" s="443"/>
      <c r="EO13" s="443"/>
      <c r="EP13" s="443"/>
      <c r="EQ13" s="443"/>
      <c r="ER13" s="443"/>
      <c r="ES13" s="443"/>
      <c r="ET13" s="443"/>
      <c r="EU13" s="443"/>
      <c r="EV13" s="443"/>
      <c r="EW13" s="443"/>
      <c r="EX13" s="443"/>
      <c r="EY13" s="443"/>
      <c r="EZ13" s="443"/>
      <c r="FA13" s="443"/>
      <c r="FB13" s="443"/>
      <c r="FC13" s="443"/>
      <c r="FD13" s="443"/>
      <c r="FE13" s="443"/>
      <c r="FF13" s="443"/>
      <c r="FG13" s="443"/>
      <c r="FH13" s="443"/>
      <c r="FI13" s="443"/>
      <c r="FJ13" s="443"/>
      <c r="FK13" s="443"/>
      <c r="FL13" s="443"/>
      <c r="FM13" s="443"/>
      <c r="FN13" s="443"/>
      <c r="FO13" s="443"/>
      <c r="FP13" s="443"/>
      <c r="FQ13" s="443"/>
      <c r="FR13" s="443"/>
      <c r="FS13" s="443"/>
      <c r="FT13" s="443"/>
      <c r="FU13" s="443"/>
      <c r="FV13" s="443"/>
      <c r="FW13" s="443"/>
      <c r="FX13" s="443"/>
      <c r="FY13" s="443"/>
      <c r="FZ13" s="443"/>
      <c r="GA13" s="443"/>
      <c r="GB13" s="443"/>
      <c r="GC13" s="443"/>
      <c r="GD13" s="443"/>
      <c r="GE13" s="443"/>
      <c r="GF13" s="443"/>
      <c r="GG13" s="443"/>
      <c r="GH13" s="443"/>
      <c r="GI13" s="443"/>
      <c r="GJ13" s="443"/>
      <c r="GK13" s="443"/>
      <c r="GL13" s="443"/>
      <c r="GM13" s="443"/>
      <c r="GN13" s="443"/>
      <c r="GO13" s="443"/>
      <c r="GP13" s="443"/>
      <c r="GQ13" s="443"/>
      <c r="GR13" s="443"/>
      <c r="GS13" s="443"/>
      <c r="GT13" s="443"/>
      <c r="GU13" s="443"/>
      <c r="GV13" s="443"/>
      <c r="GW13" s="443"/>
      <c r="GX13" s="443"/>
      <c r="GY13" s="443"/>
      <c r="GZ13" s="443"/>
      <c r="HA13" s="443"/>
      <c r="HB13" s="443"/>
      <c r="HC13" s="443"/>
      <c r="HD13" s="443"/>
      <c r="HE13" s="443"/>
      <c r="HF13" s="443"/>
      <c r="HG13" s="443"/>
      <c r="HH13" s="443"/>
      <c r="HI13" s="443"/>
      <c r="HJ13" s="443"/>
      <c r="HK13" s="443"/>
      <c r="HL13" s="443"/>
      <c r="HM13" s="443"/>
      <c r="HN13" s="443"/>
      <c r="HO13" s="443"/>
      <c r="HP13" s="443"/>
      <c r="HQ13" s="443"/>
      <c r="HR13" s="443"/>
      <c r="HS13" s="443"/>
      <c r="HT13" s="443"/>
      <c r="HU13" s="443"/>
      <c r="HV13" s="443"/>
      <c r="HW13" s="443"/>
      <c r="HX13" s="443"/>
      <c r="HY13" s="443"/>
      <c r="HZ13" s="443"/>
      <c r="IA13" s="443"/>
      <c r="IB13" s="443"/>
      <c r="IC13" s="443"/>
      <c r="ID13" s="443"/>
      <c r="IE13" s="443"/>
      <c r="IF13" s="443"/>
    </row>
    <row r="14" spans="2:247" s="218" customFormat="1" ht="26.25" customHeight="1">
      <c r="B14" s="217"/>
      <c r="C14" s="1181" t="s">
        <v>16</v>
      </c>
      <c r="D14" s="1182"/>
      <c r="E14" s="1182"/>
      <c r="F14" s="1182"/>
      <c r="G14" s="1182"/>
      <c r="H14" s="1182"/>
      <c r="I14" s="1182"/>
      <c r="J14" s="1182"/>
      <c r="K14" s="1182"/>
      <c r="L14" s="1182"/>
      <c r="M14" s="1182"/>
      <c r="N14" s="1182"/>
      <c r="O14" s="1183"/>
      <c r="P14" s="449"/>
      <c r="Q14" s="449"/>
      <c r="R14" s="449"/>
      <c r="S14" s="449"/>
      <c r="T14" s="449"/>
      <c r="U14" s="449"/>
      <c r="V14" s="449"/>
      <c r="W14" s="449"/>
      <c r="X14" s="449"/>
      <c r="Y14" s="449"/>
      <c r="Z14" s="449"/>
      <c r="AA14" s="449"/>
      <c r="AB14" s="449"/>
      <c r="AC14" s="449"/>
      <c r="AD14" s="449"/>
      <c r="AE14" s="449"/>
      <c r="AF14" s="449"/>
      <c r="AG14" s="449"/>
      <c r="AH14" s="449"/>
      <c r="AI14" s="449"/>
      <c r="AJ14" s="449"/>
      <c r="AK14" s="449"/>
      <c r="AL14" s="449"/>
      <c r="AM14" s="449"/>
      <c r="AN14" s="449"/>
      <c r="AO14" s="449"/>
      <c r="AP14" s="449"/>
      <c r="AQ14" s="449"/>
      <c r="AR14" s="449"/>
      <c r="AS14" s="449"/>
      <c r="AT14" s="449"/>
      <c r="AU14" s="449"/>
      <c r="AV14" s="449"/>
      <c r="AW14" s="449"/>
      <c r="AX14" s="449"/>
      <c r="AY14" s="449"/>
      <c r="AZ14" s="449"/>
      <c r="BA14" s="449"/>
      <c r="BB14" s="449"/>
      <c r="BC14" s="449"/>
      <c r="BD14" s="449"/>
      <c r="BE14" s="449"/>
      <c r="BF14" s="449"/>
      <c r="BG14" s="449"/>
      <c r="BH14" s="449"/>
      <c r="BI14" s="449"/>
      <c r="BJ14" s="449"/>
      <c r="BK14" s="449"/>
      <c r="BL14" s="449"/>
      <c r="BM14" s="449"/>
      <c r="BN14" s="449"/>
      <c r="BO14" s="449"/>
      <c r="BP14" s="449"/>
      <c r="BQ14" s="449"/>
      <c r="BR14" s="449"/>
      <c r="BS14" s="449"/>
      <c r="BT14" s="449"/>
      <c r="BU14" s="449"/>
      <c r="BV14" s="449"/>
      <c r="BW14" s="449"/>
      <c r="BX14" s="449"/>
      <c r="BY14" s="449"/>
      <c r="BZ14" s="449"/>
      <c r="CA14" s="449"/>
      <c r="CB14" s="449"/>
      <c r="CC14" s="449"/>
      <c r="CD14" s="449"/>
      <c r="CE14" s="449"/>
      <c r="CF14" s="449"/>
      <c r="CG14" s="449"/>
      <c r="CH14" s="449"/>
      <c r="CI14" s="449"/>
      <c r="CJ14" s="449"/>
      <c r="CK14" s="449"/>
      <c r="CL14" s="449"/>
      <c r="CM14" s="449"/>
      <c r="CN14" s="449"/>
      <c r="CO14" s="449"/>
      <c r="CP14" s="449"/>
      <c r="CQ14" s="449"/>
      <c r="CR14" s="449"/>
      <c r="CS14" s="449"/>
      <c r="CT14" s="449"/>
      <c r="CU14" s="449"/>
      <c r="CV14" s="449"/>
      <c r="CW14" s="449"/>
      <c r="CX14" s="449"/>
      <c r="CY14" s="449"/>
      <c r="CZ14" s="449"/>
      <c r="DA14" s="449"/>
      <c r="DB14" s="449"/>
      <c r="DC14" s="449"/>
      <c r="DD14" s="449"/>
      <c r="DE14" s="449"/>
      <c r="DF14" s="449"/>
      <c r="DG14" s="449"/>
      <c r="DH14" s="449"/>
      <c r="DI14" s="449"/>
      <c r="DJ14" s="449"/>
      <c r="DK14" s="449"/>
      <c r="DL14" s="449"/>
      <c r="DM14" s="449"/>
      <c r="DN14" s="449"/>
      <c r="DO14" s="449"/>
      <c r="DP14" s="449"/>
      <c r="DQ14" s="449"/>
      <c r="DR14" s="449"/>
      <c r="DS14" s="449"/>
      <c r="DT14" s="449"/>
      <c r="DU14" s="449"/>
      <c r="DV14" s="449"/>
      <c r="DW14" s="449"/>
      <c r="DX14" s="449"/>
      <c r="DY14" s="449"/>
      <c r="DZ14" s="449"/>
      <c r="EA14" s="449"/>
      <c r="EB14" s="449"/>
      <c r="EC14" s="449"/>
      <c r="ED14" s="449"/>
      <c r="EE14" s="449"/>
      <c r="EF14" s="449"/>
      <c r="EG14" s="449"/>
      <c r="EH14" s="449"/>
      <c r="EI14" s="449"/>
      <c r="EJ14" s="449"/>
      <c r="EK14" s="449"/>
      <c r="EL14" s="449"/>
      <c r="EM14" s="449"/>
      <c r="EN14" s="449"/>
      <c r="EO14" s="449"/>
      <c r="EP14" s="449"/>
      <c r="EQ14" s="449"/>
      <c r="ER14" s="449"/>
      <c r="ES14" s="449"/>
      <c r="ET14" s="449"/>
      <c r="EU14" s="449"/>
      <c r="EV14" s="449"/>
      <c r="EW14" s="449"/>
      <c r="EX14" s="449"/>
      <c r="EY14" s="449"/>
      <c r="EZ14" s="449"/>
      <c r="FA14" s="449"/>
      <c r="FB14" s="449"/>
      <c r="FC14" s="449"/>
      <c r="FD14" s="449"/>
      <c r="FE14" s="449"/>
      <c r="FF14" s="449"/>
      <c r="FG14" s="449"/>
      <c r="FH14" s="449"/>
      <c r="FI14" s="449"/>
      <c r="FJ14" s="449"/>
      <c r="FK14" s="449"/>
      <c r="FL14" s="449"/>
      <c r="FM14" s="449"/>
      <c r="FN14" s="449"/>
      <c r="FO14" s="449"/>
      <c r="FP14" s="449"/>
      <c r="FQ14" s="449"/>
      <c r="FR14" s="449"/>
      <c r="FS14" s="449"/>
      <c r="FT14" s="449"/>
      <c r="FU14" s="449"/>
      <c r="FV14" s="449"/>
      <c r="FW14" s="449"/>
      <c r="FX14" s="449"/>
      <c r="FY14" s="449"/>
      <c r="FZ14" s="449"/>
      <c r="GA14" s="449"/>
      <c r="GB14" s="449"/>
      <c r="GC14" s="449"/>
      <c r="GD14" s="449"/>
      <c r="GE14" s="449"/>
      <c r="GF14" s="449"/>
      <c r="GG14" s="449"/>
      <c r="GH14" s="449"/>
      <c r="GI14" s="449"/>
      <c r="GJ14" s="449"/>
      <c r="GK14" s="449"/>
      <c r="GL14" s="449"/>
      <c r="GM14" s="449"/>
      <c r="GN14" s="449"/>
      <c r="GO14" s="449"/>
      <c r="GP14" s="449"/>
      <c r="GQ14" s="449"/>
      <c r="GR14" s="449"/>
      <c r="GS14" s="449"/>
      <c r="GT14" s="449"/>
      <c r="GU14" s="449"/>
      <c r="GV14" s="449"/>
      <c r="GW14" s="449"/>
      <c r="GX14" s="449"/>
      <c r="GY14" s="449"/>
      <c r="GZ14" s="449"/>
      <c r="HA14" s="449"/>
      <c r="HB14" s="449"/>
      <c r="HC14" s="449"/>
      <c r="HD14" s="449"/>
      <c r="HE14" s="449"/>
      <c r="HF14" s="449"/>
      <c r="HG14" s="449"/>
      <c r="HH14" s="449"/>
      <c r="HI14" s="449"/>
      <c r="HJ14" s="449"/>
      <c r="HK14" s="449"/>
      <c r="HL14" s="449"/>
      <c r="HM14" s="449"/>
      <c r="HN14" s="449"/>
      <c r="HO14" s="449"/>
      <c r="HP14" s="449"/>
      <c r="HQ14" s="449"/>
      <c r="HR14" s="449"/>
      <c r="HS14" s="449"/>
      <c r="HT14" s="449"/>
      <c r="HU14" s="449"/>
      <c r="HV14" s="449"/>
      <c r="HW14" s="449"/>
      <c r="HX14" s="449"/>
      <c r="HY14" s="449"/>
      <c r="HZ14" s="449"/>
      <c r="IA14" s="449"/>
    </row>
    <row r="15" spans="2:247" s="218" customFormat="1" ht="36">
      <c r="B15" s="217"/>
      <c r="C15" s="444" t="s">
        <v>17</v>
      </c>
      <c r="D15" s="445" t="s">
        <v>18</v>
      </c>
      <c r="E15" s="446" t="s">
        <v>1182</v>
      </c>
      <c r="F15" s="446" t="s">
        <v>1174</v>
      </c>
      <c r="G15" s="446" t="s">
        <v>1176</v>
      </c>
      <c r="H15" s="446" t="s">
        <v>1177</v>
      </c>
      <c r="I15" s="446" t="s">
        <v>1181</v>
      </c>
      <c r="J15" s="446" t="s">
        <v>1183</v>
      </c>
      <c r="K15" s="446" t="s">
        <v>1189</v>
      </c>
      <c r="L15" s="444" t="s">
        <v>19</v>
      </c>
      <c r="M15" s="444" t="s">
        <v>20</v>
      </c>
      <c r="N15" s="444" t="s">
        <v>21</v>
      </c>
      <c r="O15" s="444" t="s">
        <v>22</v>
      </c>
      <c r="P15" s="449"/>
      <c r="Q15" s="449"/>
      <c r="R15" s="449"/>
      <c r="S15" s="449"/>
      <c r="T15" s="449"/>
      <c r="U15" s="449"/>
      <c r="V15" s="449"/>
      <c r="W15" s="449"/>
      <c r="X15" s="449"/>
      <c r="Y15" s="449"/>
      <c r="Z15" s="449"/>
      <c r="AA15" s="449"/>
      <c r="AB15" s="449"/>
      <c r="AC15" s="449"/>
      <c r="AD15" s="449"/>
      <c r="AE15" s="449"/>
      <c r="AF15" s="449"/>
      <c r="AG15" s="449"/>
      <c r="AH15" s="449"/>
      <c r="AI15" s="449"/>
      <c r="AJ15" s="449"/>
      <c r="AK15" s="449"/>
      <c r="AL15" s="449"/>
      <c r="AM15" s="449"/>
      <c r="AN15" s="449"/>
      <c r="AO15" s="449"/>
      <c r="AP15" s="449"/>
      <c r="AQ15" s="449"/>
      <c r="AR15" s="449"/>
      <c r="AS15" s="449"/>
      <c r="AT15" s="449"/>
      <c r="AU15" s="449"/>
      <c r="AV15" s="449"/>
      <c r="AW15" s="449"/>
      <c r="AX15" s="449"/>
      <c r="AY15" s="449"/>
      <c r="AZ15" s="449"/>
      <c r="BA15" s="449"/>
      <c r="BB15" s="449"/>
      <c r="BC15" s="449"/>
      <c r="BD15" s="449"/>
      <c r="BE15" s="449"/>
      <c r="BF15" s="449"/>
      <c r="BG15" s="449"/>
      <c r="BH15" s="449"/>
      <c r="BI15" s="449"/>
      <c r="BJ15" s="449"/>
      <c r="BK15" s="449"/>
      <c r="BL15" s="449"/>
      <c r="BM15" s="449"/>
      <c r="BN15" s="449"/>
      <c r="BO15" s="449"/>
      <c r="BP15" s="449"/>
      <c r="BQ15" s="449"/>
      <c r="BR15" s="449"/>
      <c r="BS15" s="449"/>
      <c r="BT15" s="449"/>
      <c r="BU15" s="449"/>
      <c r="BV15" s="449"/>
      <c r="BW15" s="449"/>
      <c r="BX15" s="449"/>
      <c r="BY15" s="449"/>
      <c r="BZ15" s="449"/>
      <c r="CA15" s="449"/>
      <c r="CB15" s="449"/>
      <c r="CC15" s="449"/>
      <c r="CD15" s="449"/>
      <c r="CE15" s="449"/>
      <c r="CF15" s="449"/>
      <c r="CG15" s="449"/>
      <c r="CH15" s="449"/>
      <c r="CI15" s="449"/>
      <c r="CJ15" s="449"/>
      <c r="CK15" s="449"/>
      <c r="CL15" s="449"/>
      <c r="CM15" s="449"/>
      <c r="CN15" s="449"/>
      <c r="CO15" s="449"/>
      <c r="CP15" s="449"/>
      <c r="CQ15" s="449"/>
      <c r="CR15" s="449"/>
      <c r="CS15" s="449"/>
      <c r="CT15" s="449"/>
      <c r="CU15" s="449"/>
      <c r="CV15" s="449"/>
      <c r="CW15" s="449"/>
      <c r="CX15" s="449"/>
      <c r="CY15" s="449"/>
      <c r="CZ15" s="449"/>
      <c r="DA15" s="449"/>
      <c r="DB15" s="449"/>
      <c r="DC15" s="449"/>
      <c r="DD15" s="449"/>
      <c r="DE15" s="449"/>
      <c r="DF15" s="449"/>
      <c r="DG15" s="449"/>
      <c r="DH15" s="449"/>
      <c r="DI15" s="449"/>
      <c r="DJ15" s="449"/>
      <c r="DK15" s="449"/>
      <c r="DL15" s="449"/>
      <c r="DM15" s="449"/>
      <c r="DN15" s="449"/>
      <c r="DO15" s="449"/>
      <c r="DP15" s="449"/>
      <c r="DQ15" s="449"/>
      <c r="DR15" s="449"/>
      <c r="DS15" s="449"/>
      <c r="DT15" s="449"/>
      <c r="DU15" s="449"/>
      <c r="DV15" s="449"/>
      <c r="DW15" s="449"/>
      <c r="DX15" s="449"/>
      <c r="DY15" s="449"/>
      <c r="DZ15" s="449"/>
      <c r="EA15" s="449"/>
      <c r="EB15" s="449"/>
      <c r="EC15" s="449"/>
      <c r="ED15" s="449"/>
      <c r="EE15" s="449"/>
      <c r="EF15" s="449"/>
      <c r="EG15" s="449"/>
      <c r="EH15" s="449"/>
      <c r="EI15" s="449"/>
      <c r="EJ15" s="449"/>
      <c r="EK15" s="449"/>
      <c r="EL15" s="449"/>
      <c r="EM15" s="449"/>
      <c r="EN15" s="449"/>
      <c r="EO15" s="449"/>
      <c r="EP15" s="449"/>
      <c r="EQ15" s="449"/>
      <c r="ER15" s="449"/>
      <c r="ES15" s="449"/>
      <c r="ET15" s="449"/>
      <c r="EU15" s="449"/>
      <c r="EV15" s="449"/>
      <c r="EW15" s="449"/>
      <c r="EX15" s="449"/>
      <c r="EY15" s="449"/>
      <c r="EZ15" s="449"/>
      <c r="FA15" s="449"/>
      <c r="FB15" s="449"/>
      <c r="FC15" s="449"/>
      <c r="FD15" s="449"/>
      <c r="FE15" s="449"/>
      <c r="FF15" s="449"/>
      <c r="FG15" s="449"/>
      <c r="FH15" s="449"/>
      <c r="FI15" s="449"/>
      <c r="FJ15" s="449"/>
      <c r="FK15" s="449"/>
      <c r="FL15" s="449"/>
      <c r="FM15" s="449"/>
      <c r="FN15" s="449"/>
      <c r="FO15" s="449"/>
      <c r="FP15" s="449"/>
      <c r="FQ15" s="449"/>
      <c r="FR15" s="449"/>
      <c r="FS15" s="449"/>
      <c r="FT15" s="449"/>
      <c r="FU15" s="449"/>
      <c r="FV15" s="449"/>
      <c r="FW15" s="449"/>
      <c r="FX15" s="449"/>
      <c r="FY15" s="449"/>
      <c r="FZ15" s="449"/>
      <c r="GA15" s="449"/>
      <c r="GB15" s="449"/>
      <c r="GC15" s="449"/>
      <c r="GD15" s="449"/>
      <c r="GE15" s="449"/>
      <c r="GF15" s="449"/>
      <c r="GG15" s="449"/>
      <c r="GH15" s="449"/>
      <c r="GI15" s="449"/>
      <c r="GJ15" s="449"/>
      <c r="GK15" s="449"/>
      <c r="GL15" s="449"/>
      <c r="GM15" s="449"/>
      <c r="GN15" s="449"/>
      <c r="GO15" s="449"/>
      <c r="GP15" s="449"/>
      <c r="GQ15" s="449"/>
      <c r="GR15" s="449"/>
      <c r="GS15" s="449"/>
      <c r="GT15" s="449"/>
      <c r="GU15" s="449"/>
      <c r="GV15" s="449"/>
      <c r="GW15" s="449"/>
      <c r="GX15" s="449"/>
      <c r="GY15" s="449"/>
      <c r="GZ15" s="449"/>
      <c r="HA15" s="449"/>
      <c r="HB15" s="449"/>
      <c r="HC15" s="449"/>
      <c r="HD15" s="449"/>
      <c r="HE15" s="449"/>
      <c r="HF15" s="449"/>
      <c r="HG15" s="449"/>
      <c r="HH15" s="449"/>
      <c r="HI15" s="449"/>
      <c r="HJ15" s="449"/>
      <c r="HK15" s="449"/>
      <c r="HL15" s="449"/>
      <c r="HM15" s="449"/>
      <c r="HN15" s="449"/>
      <c r="HO15" s="449"/>
      <c r="HP15" s="449"/>
      <c r="HQ15" s="449"/>
      <c r="HR15" s="449"/>
      <c r="HS15" s="449"/>
      <c r="HT15" s="449"/>
      <c r="HU15" s="449"/>
      <c r="HV15" s="449"/>
      <c r="HW15" s="449"/>
      <c r="HX15" s="449"/>
      <c r="HY15" s="449"/>
      <c r="HZ15" s="449"/>
      <c r="IA15" s="449"/>
      <c r="IB15" s="449"/>
      <c r="IC15" s="449"/>
    </row>
    <row r="16" spans="2:247" s="218" customFormat="1" ht="21.75" customHeight="1">
      <c r="B16" s="217"/>
      <c r="C16" s="447" t="s">
        <v>1044</v>
      </c>
      <c r="D16" s="619">
        <f>RESUMO_Preços!K5</f>
        <v>9650.25</v>
      </c>
      <c r="E16" s="448"/>
      <c r="F16" s="625">
        <v>9390.99</v>
      </c>
      <c r="G16" s="624">
        <v>8480.32</v>
      </c>
      <c r="H16" s="632">
        <v>9421.9</v>
      </c>
      <c r="I16" s="448"/>
      <c r="J16" s="624">
        <f>9928.8*(1+39.83/100)</f>
        <v>13883.441039999998</v>
      </c>
      <c r="K16" s="624">
        <v>15054.2</v>
      </c>
      <c r="L16" s="453">
        <f>AVERAGE(E16:K16)</f>
        <v>11246.170208</v>
      </c>
      <c r="M16" s="454">
        <f>MEDIAN(E16:K16)</f>
        <v>9421.9</v>
      </c>
      <c r="N16" s="454">
        <f>SMALL(L16:M16,1)</f>
        <v>9421.9</v>
      </c>
      <c r="O16" s="631">
        <f>D16-N16</f>
        <v>228.35000000000036</v>
      </c>
      <c r="P16" s="449"/>
      <c r="Q16" s="449"/>
      <c r="R16" s="449"/>
      <c r="S16" s="449"/>
      <c r="T16" s="449"/>
      <c r="U16" s="449"/>
      <c r="V16" s="449"/>
      <c r="W16" s="449"/>
      <c r="X16" s="449"/>
      <c r="Y16" s="449"/>
      <c r="Z16" s="449"/>
      <c r="AA16" s="449"/>
      <c r="AB16" s="449"/>
      <c r="AC16" s="449"/>
      <c r="AD16" s="449"/>
      <c r="AE16" s="449"/>
      <c r="AF16" s="449"/>
      <c r="AG16" s="449"/>
      <c r="AH16" s="449"/>
      <c r="AI16" s="449"/>
      <c r="AJ16" s="449"/>
      <c r="AK16" s="449"/>
      <c r="AL16" s="449"/>
      <c r="AM16" s="449"/>
      <c r="AN16" s="449"/>
      <c r="AO16" s="449"/>
      <c r="AP16" s="449"/>
      <c r="AQ16" s="449"/>
      <c r="AR16" s="449"/>
      <c r="AS16" s="449"/>
      <c r="AT16" s="449"/>
      <c r="AU16" s="449"/>
      <c r="AV16" s="449"/>
      <c r="AW16" s="449"/>
      <c r="AX16" s="449"/>
      <c r="AY16" s="449"/>
      <c r="AZ16" s="449"/>
      <c r="BA16" s="449"/>
      <c r="BB16" s="449"/>
      <c r="BC16" s="449"/>
      <c r="BD16" s="449"/>
      <c r="BE16" s="449"/>
      <c r="BF16" s="449"/>
      <c r="BG16" s="449"/>
      <c r="BH16" s="449"/>
      <c r="BI16" s="449"/>
      <c r="BJ16" s="449"/>
      <c r="BK16" s="449"/>
      <c r="BL16" s="449"/>
      <c r="BM16" s="449"/>
      <c r="BN16" s="449"/>
      <c r="BO16" s="449"/>
      <c r="BP16" s="449"/>
      <c r="BQ16" s="449"/>
      <c r="BR16" s="449"/>
      <c r="BS16" s="449"/>
      <c r="BT16" s="449"/>
      <c r="BU16" s="449"/>
      <c r="BV16" s="449"/>
      <c r="BW16" s="449"/>
      <c r="BX16" s="449"/>
      <c r="BY16" s="449"/>
      <c r="BZ16" s="449"/>
      <c r="CA16" s="449"/>
      <c r="CB16" s="449"/>
      <c r="CC16" s="449"/>
      <c r="CD16" s="449"/>
      <c r="CE16" s="449"/>
      <c r="CF16" s="449"/>
      <c r="CG16" s="449"/>
      <c r="CH16" s="449"/>
      <c r="CI16" s="449"/>
      <c r="CJ16" s="449"/>
      <c r="CK16" s="449"/>
      <c r="CL16" s="449"/>
      <c r="CM16" s="449"/>
      <c r="CN16" s="449"/>
      <c r="CO16" s="449"/>
      <c r="CP16" s="449"/>
      <c r="CQ16" s="449"/>
      <c r="CR16" s="449"/>
      <c r="CS16" s="449"/>
      <c r="CT16" s="449"/>
      <c r="CU16" s="449"/>
      <c r="CV16" s="449"/>
      <c r="CW16" s="449"/>
      <c r="CX16" s="449"/>
      <c r="CY16" s="449"/>
      <c r="CZ16" s="449"/>
      <c r="DA16" s="449"/>
      <c r="DB16" s="449"/>
      <c r="DC16" s="449"/>
      <c r="DD16" s="449"/>
      <c r="DE16" s="449"/>
      <c r="DF16" s="449"/>
      <c r="DG16" s="449"/>
      <c r="DH16" s="449"/>
      <c r="DI16" s="449"/>
      <c r="DJ16" s="449"/>
      <c r="DK16" s="449"/>
      <c r="DL16" s="449"/>
      <c r="DM16" s="449"/>
      <c r="DN16" s="449"/>
      <c r="DO16" s="449"/>
      <c r="DP16" s="449"/>
      <c r="DQ16" s="449"/>
      <c r="DR16" s="449"/>
      <c r="DS16" s="449"/>
      <c r="DT16" s="449"/>
      <c r="DU16" s="449"/>
      <c r="DV16" s="449"/>
      <c r="DW16" s="449"/>
      <c r="DX16" s="449"/>
      <c r="DY16" s="449"/>
      <c r="DZ16" s="449"/>
      <c r="EA16" s="449"/>
      <c r="EB16" s="449"/>
      <c r="EC16" s="449"/>
      <c r="ED16" s="449"/>
      <c r="EE16" s="449"/>
      <c r="EF16" s="449"/>
      <c r="EG16" s="449"/>
      <c r="EH16" s="449"/>
      <c r="EI16" s="449"/>
      <c r="EJ16" s="449"/>
      <c r="EK16" s="449"/>
      <c r="EL16" s="449"/>
      <c r="EM16" s="449"/>
      <c r="EN16" s="449"/>
      <c r="EO16" s="449"/>
      <c r="EP16" s="449"/>
      <c r="EQ16" s="449"/>
      <c r="ER16" s="449"/>
      <c r="ES16" s="449"/>
      <c r="ET16" s="449"/>
      <c r="EU16" s="449"/>
      <c r="EV16" s="449"/>
      <c r="EW16" s="449"/>
      <c r="EX16" s="449"/>
      <c r="EY16" s="449"/>
      <c r="EZ16" s="449"/>
      <c r="FA16" s="449"/>
      <c r="FB16" s="449"/>
      <c r="FC16" s="449"/>
      <c r="FD16" s="449"/>
      <c r="FE16" s="449"/>
      <c r="FF16" s="449"/>
      <c r="FG16" s="449"/>
      <c r="FH16" s="449"/>
      <c r="FI16" s="449"/>
      <c r="FJ16" s="449"/>
      <c r="FK16" s="449"/>
      <c r="FL16" s="449"/>
      <c r="FM16" s="449"/>
      <c r="FN16" s="449"/>
      <c r="FO16" s="449"/>
      <c r="FP16" s="449"/>
      <c r="FQ16" s="449"/>
      <c r="FR16" s="449"/>
      <c r="FS16" s="449"/>
      <c r="FT16" s="449"/>
      <c r="FU16" s="449"/>
      <c r="FV16" s="449"/>
      <c r="FW16" s="449"/>
      <c r="FX16" s="449"/>
      <c r="FY16" s="449"/>
      <c r="FZ16" s="449"/>
      <c r="GA16" s="449"/>
      <c r="GB16" s="449"/>
      <c r="GC16" s="449"/>
      <c r="GD16" s="449"/>
      <c r="GE16" s="449"/>
      <c r="GF16" s="449"/>
      <c r="GG16" s="449"/>
      <c r="GH16" s="449"/>
      <c r="GI16" s="449"/>
      <c r="GJ16" s="449"/>
      <c r="GK16" s="449"/>
      <c r="GL16" s="449"/>
      <c r="GM16" s="449"/>
      <c r="GN16" s="449"/>
      <c r="GO16" s="449"/>
      <c r="GP16" s="449"/>
      <c r="GQ16" s="449"/>
      <c r="GR16" s="449"/>
      <c r="GS16" s="449"/>
      <c r="GT16" s="449"/>
      <c r="GU16" s="449"/>
      <c r="GV16" s="449"/>
      <c r="GW16" s="449"/>
      <c r="GX16" s="449"/>
      <c r="GY16" s="449"/>
      <c r="GZ16" s="449"/>
      <c r="HA16" s="449"/>
      <c r="HB16" s="449"/>
      <c r="HC16" s="449"/>
      <c r="HD16" s="449"/>
      <c r="HE16" s="449"/>
      <c r="HF16" s="449"/>
      <c r="HG16" s="449"/>
      <c r="HH16" s="449"/>
      <c r="HI16" s="449"/>
      <c r="HJ16" s="449"/>
      <c r="HK16" s="449"/>
      <c r="HL16" s="449"/>
      <c r="HM16" s="449"/>
      <c r="HN16" s="449"/>
      <c r="HO16" s="449"/>
      <c r="HP16" s="449"/>
      <c r="HQ16" s="449"/>
      <c r="HR16" s="449"/>
      <c r="HS16" s="449"/>
      <c r="HT16" s="449"/>
      <c r="HU16" s="449"/>
      <c r="HV16" s="449"/>
      <c r="HW16" s="449"/>
      <c r="HX16" s="449"/>
      <c r="HY16" s="449"/>
      <c r="HZ16" s="449"/>
      <c r="IA16" s="449"/>
      <c r="IB16" s="449"/>
      <c r="IC16" s="449"/>
    </row>
    <row r="17" spans="2:246" s="218" customFormat="1" ht="21.75" customHeight="1">
      <c r="B17" s="217"/>
      <c r="C17" s="447" t="s">
        <v>1046</v>
      </c>
      <c r="D17" s="619">
        <f>RESUMO_Preços!K6</f>
        <v>7956.54</v>
      </c>
      <c r="E17" s="621">
        <f>6551.22*1.05</f>
        <v>6878.7810000000009</v>
      </c>
      <c r="F17" s="625">
        <v>8784.11</v>
      </c>
      <c r="G17" s="624">
        <v>7204.95</v>
      </c>
      <c r="H17" s="632">
        <v>8826.0400000000009</v>
      </c>
      <c r="I17" s="626">
        <f>8121.5*1.05</f>
        <v>8527.5750000000007</v>
      </c>
      <c r="J17" s="624">
        <f>9058.01*(1+39.83/100)</f>
        <v>12665.815382999999</v>
      </c>
      <c r="K17" s="624">
        <v>10890.07</v>
      </c>
      <c r="L17" s="453">
        <f>AVERAGE(E17:K17)</f>
        <v>9111.0487690000009</v>
      </c>
      <c r="M17" s="454">
        <f>MEDIAN(E17:K17)</f>
        <v>8784.11</v>
      </c>
      <c r="N17" s="454">
        <f>SMALL(L17:M17,1)</f>
        <v>8784.11</v>
      </c>
      <c r="O17" s="455">
        <f>D17-N17</f>
        <v>-827.57000000000062</v>
      </c>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c r="AW17" s="449"/>
      <c r="AX17" s="449"/>
      <c r="AY17" s="449"/>
      <c r="AZ17" s="449"/>
      <c r="BA17" s="449"/>
      <c r="BB17" s="449"/>
      <c r="BC17" s="449"/>
      <c r="BD17" s="449"/>
      <c r="BE17" s="449"/>
      <c r="BF17" s="449"/>
      <c r="BG17" s="449"/>
      <c r="BH17" s="449"/>
      <c r="BI17" s="449"/>
      <c r="BJ17" s="449"/>
      <c r="BK17" s="449"/>
      <c r="BL17" s="449"/>
      <c r="BM17" s="449"/>
      <c r="BN17" s="449"/>
      <c r="BO17" s="449"/>
      <c r="BP17" s="449"/>
      <c r="BQ17" s="449"/>
      <c r="BR17" s="449"/>
      <c r="BS17" s="449"/>
      <c r="BT17" s="449"/>
      <c r="BU17" s="449"/>
      <c r="BV17" s="449"/>
      <c r="BW17" s="449"/>
      <c r="BX17" s="449"/>
      <c r="BY17" s="449"/>
      <c r="BZ17" s="449"/>
      <c r="CA17" s="449"/>
      <c r="CB17" s="449"/>
      <c r="CC17" s="449"/>
      <c r="CD17" s="449"/>
      <c r="CE17" s="449"/>
      <c r="CF17" s="449"/>
      <c r="CG17" s="449"/>
      <c r="CH17" s="449"/>
      <c r="CI17" s="449"/>
      <c r="CJ17" s="449"/>
      <c r="CK17" s="449"/>
      <c r="CL17" s="449"/>
      <c r="CM17" s="449"/>
      <c r="CN17" s="449"/>
      <c r="CO17" s="449"/>
      <c r="CP17" s="449"/>
      <c r="CQ17" s="449"/>
      <c r="CR17" s="449"/>
      <c r="CS17" s="449"/>
      <c r="CT17" s="449"/>
      <c r="CU17" s="449"/>
      <c r="CV17" s="449"/>
      <c r="CW17" s="449"/>
      <c r="CX17" s="449"/>
      <c r="CY17" s="449"/>
      <c r="CZ17" s="449"/>
      <c r="DA17" s="449"/>
      <c r="DB17" s="449"/>
      <c r="DC17" s="449"/>
      <c r="DD17" s="449"/>
      <c r="DE17" s="449"/>
      <c r="DF17" s="449"/>
      <c r="DG17" s="449"/>
      <c r="DH17" s="449"/>
      <c r="DI17" s="449"/>
      <c r="DJ17" s="449"/>
      <c r="DK17" s="449"/>
      <c r="DL17" s="449"/>
      <c r="DM17" s="449"/>
      <c r="DN17" s="449"/>
      <c r="DO17" s="449"/>
      <c r="DP17" s="449"/>
      <c r="DQ17" s="449"/>
      <c r="DR17" s="449"/>
      <c r="DS17" s="449"/>
      <c r="DT17" s="449"/>
      <c r="DU17" s="449"/>
      <c r="DV17" s="449"/>
      <c r="DW17" s="449"/>
      <c r="DX17" s="449"/>
      <c r="DY17" s="449"/>
      <c r="DZ17" s="449"/>
      <c r="EA17" s="449"/>
      <c r="EB17" s="449"/>
      <c r="EC17" s="449"/>
      <c r="ED17" s="449"/>
      <c r="EE17" s="449"/>
      <c r="EF17" s="449"/>
      <c r="EG17" s="449"/>
      <c r="EH17" s="449"/>
      <c r="EI17" s="449"/>
      <c r="EJ17" s="449"/>
      <c r="EK17" s="449"/>
      <c r="EL17" s="449"/>
      <c r="EM17" s="449"/>
      <c r="EN17" s="449"/>
      <c r="EO17" s="449"/>
      <c r="EP17" s="449"/>
      <c r="EQ17" s="449"/>
      <c r="ER17" s="449"/>
      <c r="ES17" s="449"/>
      <c r="ET17" s="449"/>
      <c r="EU17" s="449"/>
      <c r="EV17" s="449"/>
      <c r="EW17" s="449"/>
      <c r="EX17" s="449"/>
      <c r="EY17" s="449"/>
      <c r="EZ17" s="449"/>
      <c r="FA17" s="449"/>
      <c r="FB17" s="449"/>
      <c r="FC17" s="449"/>
      <c r="FD17" s="449"/>
      <c r="FE17" s="449"/>
      <c r="FF17" s="449"/>
      <c r="FG17" s="449"/>
      <c r="FH17" s="449"/>
      <c r="FI17" s="449"/>
      <c r="FJ17" s="449"/>
      <c r="FK17" s="449"/>
      <c r="FL17" s="449"/>
      <c r="FM17" s="449"/>
      <c r="FN17" s="449"/>
      <c r="FO17" s="449"/>
      <c r="FP17" s="449"/>
      <c r="FQ17" s="449"/>
      <c r="FR17" s="449"/>
      <c r="FS17" s="449"/>
      <c r="FT17" s="449"/>
      <c r="FU17" s="449"/>
      <c r="FV17" s="449"/>
      <c r="FW17" s="449"/>
      <c r="FX17" s="449"/>
      <c r="FY17" s="449"/>
      <c r="FZ17" s="449"/>
      <c r="GA17" s="449"/>
      <c r="GB17" s="449"/>
      <c r="GC17" s="449"/>
      <c r="GD17" s="449"/>
      <c r="GE17" s="449"/>
      <c r="GF17" s="449"/>
      <c r="GG17" s="449"/>
      <c r="GH17" s="449"/>
      <c r="GI17" s="449"/>
      <c r="GJ17" s="449"/>
      <c r="GK17" s="449"/>
      <c r="GL17" s="449"/>
      <c r="GM17" s="449"/>
      <c r="GN17" s="449"/>
      <c r="GO17" s="449"/>
      <c r="GP17" s="449"/>
      <c r="GQ17" s="449"/>
      <c r="GR17" s="449"/>
      <c r="GS17" s="449"/>
      <c r="GT17" s="449"/>
      <c r="GU17" s="449"/>
      <c r="GV17" s="449"/>
      <c r="GW17" s="449"/>
      <c r="GX17" s="449"/>
      <c r="GY17" s="449"/>
      <c r="GZ17" s="449"/>
      <c r="HA17" s="449"/>
      <c r="HB17" s="449"/>
      <c r="HC17" s="449"/>
      <c r="HD17" s="449"/>
      <c r="HE17" s="449"/>
      <c r="HF17" s="449"/>
      <c r="HG17" s="449"/>
      <c r="HH17" s="449"/>
      <c r="HI17" s="449"/>
      <c r="HJ17" s="449"/>
      <c r="HK17" s="449"/>
      <c r="HL17" s="449"/>
      <c r="HM17" s="449"/>
      <c r="HN17" s="449"/>
      <c r="HO17" s="449"/>
      <c r="HP17" s="449"/>
      <c r="HQ17" s="449"/>
      <c r="HR17" s="449"/>
      <c r="HS17" s="449"/>
      <c r="HT17" s="449"/>
      <c r="HU17" s="449"/>
      <c r="HV17" s="449"/>
      <c r="HW17" s="449"/>
      <c r="HX17" s="449"/>
      <c r="HY17" s="449"/>
      <c r="HZ17" s="449"/>
      <c r="IA17" s="449"/>
      <c r="IB17" s="449"/>
      <c r="IC17" s="449"/>
    </row>
    <row r="18" spans="2:246" s="218" customFormat="1" ht="21.75" customHeight="1">
      <c r="B18" s="217"/>
      <c r="C18" s="447" t="s">
        <v>1191</v>
      </c>
      <c r="D18" s="619">
        <f>RESUMO_Preços!K7</f>
        <v>7196.94</v>
      </c>
      <c r="E18" s="448"/>
      <c r="F18" s="625">
        <v>6991.1</v>
      </c>
      <c r="G18" s="624">
        <v>5569.57</v>
      </c>
      <c r="H18" s="632">
        <v>7011.45</v>
      </c>
      <c r="I18" s="626">
        <f>6176.16*1.075</f>
        <v>6639.3719999999994</v>
      </c>
      <c r="J18" s="624">
        <f>7684.07*(1+39.83/100)</f>
        <v>10744.635080999999</v>
      </c>
      <c r="K18" s="624">
        <v>8889.02</v>
      </c>
      <c r="L18" s="453">
        <f>AVERAGE(E18:K18)</f>
        <v>7640.8578468333335</v>
      </c>
      <c r="M18" s="454">
        <f>MEDIAN(E18:K18)</f>
        <v>7001.2749999999996</v>
      </c>
      <c r="N18" s="454">
        <f>SMALL(L18:M18,1)</f>
        <v>7001.2749999999996</v>
      </c>
      <c r="O18" s="768">
        <f>D18-N18</f>
        <v>195.66499999999996</v>
      </c>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c r="AW18" s="449"/>
      <c r="AX18" s="449"/>
      <c r="AY18" s="449"/>
      <c r="AZ18" s="449"/>
      <c r="BA18" s="449"/>
      <c r="BB18" s="449"/>
      <c r="BC18" s="449"/>
      <c r="BD18" s="449"/>
      <c r="BE18" s="449"/>
      <c r="BF18" s="449"/>
      <c r="BG18" s="449"/>
      <c r="BH18" s="449"/>
      <c r="BI18" s="449"/>
      <c r="BJ18" s="449"/>
      <c r="BK18" s="449"/>
      <c r="BL18" s="449"/>
      <c r="BM18" s="449"/>
      <c r="BN18" s="449"/>
      <c r="BO18" s="449"/>
      <c r="BP18" s="449"/>
      <c r="BQ18" s="449"/>
      <c r="BR18" s="449"/>
      <c r="BS18" s="449"/>
      <c r="BT18" s="449"/>
      <c r="BU18" s="449"/>
      <c r="BV18" s="449"/>
      <c r="BW18" s="449"/>
      <c r="BX18" s="449"/>
      <c r="BY18" s="449"/>
      <c r="BZ18" s="449"/>
      <c r="CA18" s="449"/>
      <c r="CB18" s="449"/>
      <c r="CC18" s="449"/>
      <c r="CD18" s="449"/>
      <c r="CE18" s="449"/>
      <c r="CF18" s="449"/>
      <c r="CG18" s="449"/>
      <c r="CH18" s="449"/>
      <c r="CI18" s="449"/>
      <c r="CJ18" s="449"/>
      <c r="CK18" s="449"/>
      <c r="CL18" s="449"/>
      <c r="CM18" s="449"/>
      <c r="CN18" s="449"/>
      <c r="CO18" s="449"/>
      <c r="CP18" s="449"/>
      <c r="CQ18" s="449"/>
      <c r="CR18" s="449"/>
      <c r="CS18" s="449"/>
      <c r="CT18" s="449"/>
      <c r="CU18" s="449"/>
      <c r="CV18" s="449"/>
      <c r="CW18" s="449"/>
      <c r="CX18" s="449"/>
      <c r="CY18" s="449"/>
      <c r="CZ18" s="449"/>
      <c r="DA18" s="449"/>
      <c r="DB18" s="449"/>
      <c r="DC18" s="449"/>
      <c r="DD18" s="449"/>
      <c r="DE18" s="449"/>
      <c r="DF18" s="449"/>
      <c r="DG18" s="449"/>
      <c r="DH18" s="449"/>
      <c r="DI18" s="449"/>
      <c r="DJ18" s="449"/>
      <c r="DK18" s="449"/>
      <c r="DL18" s="449"/>
      <c r="DM18" s="449"/>
      <c r="DN18" s="449"/>
      <c r="DO18" s="449"/>
      <c r="DP18" s="449"/>
      <c r="DQ18" s="449"/>
      <c r="DR18" s="449"/>
      <c r="DS18" s="449"/>
      <c r="DT18" s="449"/>
      <c r="DU18" s="449"/>
      <c r="DV18" s="449"/>
      <c r="DW18" s="449"/>
      <c r="DX18" s="449"/>
      <c r="DY18" s="449"/>
      <c r="DZ18" s="449"/>
      <c r="EA18" s="449"/>
      <c r="EB18" s="449"/>
      <c r="EC18" s="449"/>
      <c r="ED18" s="449"/>
      <c r="EE18" s="449"/>
      <c r="EF18" s="449"/>
      <c r="EG18" s="449"/>
      <c r="EH18" s="449"/>
      <c r="EI18" s="449"/>
      <c r="EJ18" s="449"/>
      <c r="EK18" s="449"/>
      <c r="EL18" s="449"/>
      <c r="EM18" s="449"/>
      <c r="EN18" s="449"/>
      <c r="EO18" s="449"/>
      <c r="EP18" s="449"/>
      <c r="EQ18" s="449"/>
      <c r="ER18" s="449"/>
      <c r="ES18" s="449"/>
      <c r="ET18" s="449"/>
      <c r="EU18" s="449"/>
      <c r="EV18" s="449"/>
      <c r="EW18" s="449"/>
      <c r="EX18" s="449"/>
      <c r="EY18" s="449"/>
      <c r="EZ18" s="449"/>
      <c r="FA18" s="449"/>
      <c r="FB18" s="449"/>
      <c r="FC18" s="449"/>
      <c r="FD18" s="449"/>
      <c r="FE18" s="449"/>
      <c r="FF18" s="449"/>
      <c r="FG18" s="449"/>
      <c r="FH18" s="449"/>
      <c r="FI18" s="449"/>
      <c r="FJ18" s="449"/>
      <c r="FK18" s="449"/>
      <c r="FL18" s="449"/>
      <c r="FM18" s="449"/>
      <c r="FN18" s="449"/>
      <c r="FO18" s="449"/>
      <c r="FP18" s="449"/>
      <c r="FQ18" s="449"/>
      <c r="FR18" s="449"/>
      <c r="FS18" s="449"/>
      <c r="FT18" s="449"/>
      <c r="FU18" s="449"/>
      <c r="FV18" s="449"/>
      <c r="FW18" s="449"/>
      <c r="FX18" s="449"/>
      <c r="FY18" s="449"/>
      <c r="FZ18" s="449"/>
      <c r="GA18" s="449"/>
      <c r="GB18" s="449"/>
      <c r="GC18" s="449"/>
      <c r="GD18" s="449"/>
      <c r="GE18" s="449"/>
      <c r="GF18" s="449"/>
      <c r="GG18" s="449"/>
      <c r="GH18" s="449"/>
      <c r="GI18" s="449"/>
      <c r="GJ18" s="449"/>
      <c r="GK18" s="449"/>
      <c r="GL18" s="449"/>
      <c r="GM18" s="449"/>
      <c r="GN18" s="449"/>
      <c r="GO18" s="449"/>
      <c r="GP18" s="449"/>
      <c r="GQ18" s="449"/>
      <c r="GR18" s="449"/>
      <c r="GS18" s="449"/>
      <c r="GT18" s="449"/>
      <c r="GU18" s="449"/>
      <c r="GV18" s="449"/>
      <c r="GW18" s="449"/>
      <c r="GX18" s="449"/>
      <c r="GY18" s="449"/>
      <c r="GZ18" s="449"/>
      <c r="HA18" s="449"/>
      <c r="HB18" s="449"/>
      <c r="HC18" s="449"/>
      <c r="HD18" s="449"/>
      <c r="HE18" s="449"/>
      <c r="HF18" s="449"/>
      <c r="HG18" s="449"/>
      <c r="HH18" s="449"/>
      <c r="HI18" s="449"/>
      <c r="HJ18" s="449"/>
      <c r="HK18" s="449"/>
      <c r="HL18" s="449"/>
      <c r="HM18" s="449"/>
      <c r="HN18" s="449"/>
      <c r="HO18" s="449"/>
      <c r="HP18" s="449"/>
      <c r="HQ18" s="449"/>
      <c r="HR18" s="449"/>
      <c r="HS18" s="449"/>
      <c r="HT18" s="449"/>
      <c r="HU18" s="449"/>
      <c r="HV18" s="449"/>
      <c r="HW18" s="449"/>
      <c r="HX18" s="449"/>
      <c r="HY18" s="449"/>
      <c r="HZ18" s="449"/>
      <c r="IA18" s="449"/>
      <c r="IB18" s="449"/>
      <c r="IC18" s="449"/>
    </row>
    <row r="19" spans="2:246" s="218" customFormat="1">
      <c r="B19" s="217"/>
      <c r="C19" s="449"/>
      <c r="D19" s="450"/>
      <c r="E19" s="449"/>
      <c r="F19" s="449"/>
      <c r="G19" s="449"/>
      <c r="H19" s="449"/>
      <c r="I19" s="449"/>
      <c r="J19" s="449"/>
      <c r="K19" s="449"/>
      <c r="L19" s="449"/>
      <c r="M19" s="449"/>
      <c r="N19" s="449"/>
      <c r="O19" s="449"/>
      <c r="P19" s="449"/>
      <c r="Q19" s="449"/>
      <c r="R19" s="449"/>
      <c r="S19" s="449"/>
      <c r="T19" s="449"/>
      <c r="U19" s="449"/>
      <c r="V19" s="449"/>
      <c r="W19" s="450"/>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c r="AW19" s="449"/>
      <c r="AX19" s="449"/>
      <c r="AY19" s="449"/>
      <c r="AZ19" s="449"/>
      <c r="BA19" s="449"/>
      <c r="BB19" s="449"/>
      <c r="BC19" s="449"/>
      <c r="BD19" s="449"/>
      <c r="BE19" s="449"/>
      <c r="BF19" s="449"/>
      <c r="BG19" s="449"/>
      <c r="BH19" s="449"/>
      <c r="BI19" s="449"/>
      <c r="BJ19" s="449"/>
      <c r="BK19" s="449"/>
      <c r="BL19" s="449"/>
      <c r="BM19" s="449"/>
      <c r="BN19" s="449"/>
      <c r="BO19" s="449"/>
      <c r="BP19" s="449"/>
      <c r="BQ19" s="449"/>
      <c r="BR19" s="449"/>
      <c r="BS19" s="449"/>
      <c r="BT19" s="449"/>
      <c r="BU19" s="449"/>
      <c r="BV19" s="449"/>
      <c r="BW19" s="449"/>
      <c r="BX19" s="449"/>
      <c r="BY19" s="449"/>
      <c r="BZ19" s="449"/>
      <c r="CA19" s="449"/>
      <c r="CB19" s="449"/>
      <c r="CC19" s="449"/>
      <c r="CD19" s="449"/>
      <c r="CE19" s="449"/>
      <c r="CF19" s="449"/>
      <c r="CG19" s="449"/>
      <c r="CH19" s="449"/>
      <c r="CI19" s="449"/>
      <c r="CJ19" s="449"/>
      <c r="CK19" s="449"/>
      <c r="CL19" s="449"/>
      <c r="CM19" s="449"/>
      <c r="CN19" s="449"/>
      <c r="CO19" s="449"/>
      <c r="CP19" s="449"/>
      <c r="CQ19" s="449"/>
      <c r="CR19" s="449"/>
      <c r="CS19" s="449"/>
      <c r="CT19" s="449"/>
      <c r="CU19" s="449"/>
      <c r="CV19" s="449"/>
      <c r="CW19" s="449"/>
      <c r="CX19" s="449"/>
      <c r="CY19" s="449"/>
      <c r="CZ19" s="449"/>
      <c r="DA19" s="449"/>
      <c r="DB19" s="449"/>
      <c r="DC19" s="449"/>
      <c r="DD19" s="449"/>
      <c r="DE19" s="449"/>
      <c r="DF19" s="449"/>
      <c r="DG19" s="449"/>
      <c r="DH19" s="449"/>
      <c r="DI19" s="449"/>
      <c r="DJ19" s="449"/>
      <c r="DK19" s="449"/>
      <c r="DL19" s="449"/>
      <c r="DM19" s="449"/>
      <c r="DN19" s="449"/>
      <c r="DO19" s="449"/>
      <c r="DP19" s="449"/>
      <c r="DQ19" s="449"/>
      <c r="DR19" s="449"/>
      <c r="DS19" s="449"/>
      <c r="DT19" s="449"/>
      <c r="DU19" s="449"/>
      <c r="DV19" s="449"/>
      <c r="DW19" s="449"/>
      <c r="DX19" s="449"/>
      <c r="DY19" s="449"/>
      <c r="DZ19" s="449"/>
      <c r="EA19" s="449"/>
      <c r="EB19" s="449"/>
      <c r="EC19" s="449"/>
      <c r="ED19" s="449"/>
      <c r="EE19" s="449"/>
      <c r="EF19" s="449"/>
      <c r="EG19" s="449"/>
      <c r="EH19" s="449"/>
      <c r="EI19" s="449"/>
      <c r="EJ19" s="449"/>
      <c r="EK19" s="449"/>
      <c r="EL19" s="449"/>
      <c r="EM19" s="449"/>
      <c r="EN19" s="449"/>
      <c r="EO19" s="449"/>
      <c r="EP19" s="449"/>
      <c r="EQ19" s="449"/>
      <c r="ER19" s="449"/>
      <c r="ES19" s="449"/>
      <c r="ET19" s="449"/>
      <c r="EU19" s="449"/>
      <c r="EV19" s="449"/>
      <c r="EW19" s="449"/>
      <c r="EX19" s="449"/>
      <c r="EY19" s="449"/>
      <c r="EZ19" s="449"/>
      <c r="FA19" s="449"/>
      <c r="FB19" s="449"/>
      <c r="FC19" s="449"/>
      <c r="FD19" s="449"/>
      <c r="FE19" s="449"/>
      <c r="FF19" s="449"/>
      <c r="FG19" s="449"/>
      <c r="FH19" s="449"/>
      <c r="FI19" s="449"/>
      <c r="FJ19" s="449"/>
      <c r="FK19" s="449"/>
      <c r="FL19" s="449"/>
      <c r="FM19" s="449"/>
      <c r="FN19" s="449"/>
      <c r="FO19" s="449"/>
      <c r="FP19" s="449"/>
      <c r="FQ19" s="449"/>
      <c r="FR19" s="449"/>
      <c r="FS19" s="449"/>
      <c r="FT19" s="449"/>
      <c r="FU19" s="449"/>
      <c r="FV19" s="449"/>
      <c r="FW19" s="449"/>
      <c r="FX19" s="449"/>
      <c r="FY19" s="449"/>
      <c r="FZ19" s="449"/>
      <c r="GA19" s="449"/>
      <c r="GB19" s="449"/>
      <c r="GC19" s="449"/>
      <c r="GD19" s="449"/>
      <c r="GE19" s="449"/>
      <c r="GF19" s="449"/>
      <c r="GG19" s="449"/>
      <c r="GH19" s="449"/>
      <c r="GI19" s="449"/>
      <c r="GJ19" s="449"/>
      <c r="GK19" s="449"/>
      <c r="GL19" s="449"/>
      <c r="GM19" s="449"/>
      <c r="GN19" s="449"/>
      <c r="GO19" s="449"/>
      <c r="GP19" s="449"/>
      <c r="GQ19" s="449"/>
      <c r="GR19" s="449"/>
      <c r="GS19" s="449"/>
      <c r="GT19" s="449"/>
      <c r="GU19" s="449"/>
      <c r="GV19" s="449"/>
      <c r="GW19" s="449"/>
      <c r="GX19" s="449"/>
      <c r="GY19" s="449"/>
      <c r="GZ19" s="449"/>
      <c r="HA19" s="449"/>
      <c r="HB19" s="449"/>
      <c r="HC19" s="449"/>
      <c r="HD19" s="449"/>
      <c r="HE19" s="449"/>
      <c r="HF19" s="449"/>
      <c r="HG19" s="449"/>
      <c r="HH19" s="449"/>
      <c r="HI19" s="449"/>
      <c r="HJ19" s="449"/>
      <c r="HK19" s="449"/>
      <c r="HL19" s="449"/>
      <c r="HM19" s="449"/>
      <c r="HN19" s="449"/>
      <c r="HO19" s="449"/>
      <c r="HP19" s="449"/>
      <c r="HQ19" s="449"/>
      <c r="HR19" s="449"/>
      <c r="HS19" s="449"/>
      <c r="HT19" s="449"/>
      <c r="HU19" s="449"/>
      <c r="HV19" s="449"/>
      <c r="HW19" s="449"/>
      <c r="HX19" s="449"/>
      <c r="HY19" s="449"/>
      <c r="HZ19" s="449"/>
      <c r="IA19" s="449"/>
      <c r="IB19" s="449"/>
      <c r="IC19" s="449"/>
      <c r="ID19" s="449"/>
      <c r="IE19" s="449"/>
      <c r="IF19" s="449"/>
      <c r="IG19" s="449"/>
      <c r="IH19" s="449"/>
      <c r="II19" s="449"/>
      <c r="IJ19" s="449"/>
      <c r="IK19" s="449"/>
      <c r="IL19" s="449"/>
    </row>
    <row r="20" spans="2:246" s="218" customFormat="1">
      <c r="B20" s="217"/>
      <c r="C20" s="289" t="s">
        <v>23</v>
      </c>
      <c r="D20" s="290"/>
      <c r="E20" s="291"/>
      <c r="F20" s="291"/>
      <c r="G20" s="291"/>
      <c r="H20" s="291"/>
      <c r="I20" s="291"/>
      <c r="J20" s="291"/>
      <c r="K20" s="291"/>
      <c r="L20" s="291"/>
      <c r="M20" s="291"/>
      <c r="N20" s="291"/>
      <c r="O20" s="291"/>
      <c r="P20" s="291"/>
      <c r="Q20" s="291"/>
      <c r="R20" s="291"/>
      <c r="S20" s="291"/>
      <c r="T20" s="291"/>
      <c r="U20" s="291"/>
      <c r="V20" s="291"/>
      <c r="W20" s="291"/>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c r="AW20" s="449"/>
      <c r="AX20" s="449"/>
      <c r="AY20" s="449"/>
      <c r="AZ20" s="449"/>
      <c r="BA20" s="449"/>
      <c r="BB20" s="449"/>
      <c r="BC20" s="449"/>
      <c r="BD20" s="449"/>
      <c r="BE20" s="449"/>
      <c r="BF20" s="449"/>
      <c r="BG20" s="449"/>
      <c r="BH20" s="449"/>
      <c r="BI20" s="449"/>
      <c r="BJ20" s="449"/>
      <c r="BK20" s="449"/>
      <c r="BL20" s="449"/>
      <c r="BM20" s="449"/>
      <c r="BN20" s="449"/>
      <c r="BO20" s="449"/>
      <c r="BP20" s="449"/>
      <c r="BQ20" s="449"/>
      <c r="BR20" s="449"/>
      <c r="BS20" s="449"/>
      <c r="BT20" s="449"/>
      <c r="BU20" s="449"/>
      <c r="BV20" s="449"/>
      <c r="BW20" s="449"/>
      <c r="BX20" s="449"/>
      <c r="BY20" s="449"/>
      <c r="BZ20" s="449"/>
      <c r="CA20" s="449"/>
      <c r="CB20" s="449"/>
      <c r="CC20" s="449"/>
      <c r="CD20" s="449"/>
      <c r="CE20" s="449"/>
      <c r="CF20" s="449"/>
      <c r="CG20" s="449"/>
      <c r="CH20" s="449"/>
      <c r="CI20" s="449"/>
      <c r="CJ20" s="449"/>
      <c r="CK20" s="449"/>
      <c r="CL20" s="449"/>
      <c r="CM20" s="449"/>
      <c r="CN20" s="449"/>
      <c r="CO20" s="449"/>
      <c r="CP20" s="449"/>
      <c r="CQ20" s="449"/>
      <c r="CR20" s="449"/>
      <c r="CS20" s="449"/>
      <c r="CT20" s="449"/>
      <c r="CU20" s="449"/>
      <c r="CV20" s="449"/>
      <c r="CW20" s="449"/>
      <c r="CX20" s="449"/>
      <c r="CY20" s="449"/>
      <c r="CZ20" s="449"/>
      <c r="DA20" s="449"/>
      <c r="DB20" s="449"/>
      <c r="DC20" s="449"/>
      <c r="DD20" s="449"/>
      <c r="DE20" s="449"/>
      <c r="DF20" s="449"/>
      <c r="DG20" s="449"/>
      <c r="DH20" s="449"/>
      <c r="DI20" s="449"/>
      <c r="DJ20" s="449"/>
      <c r="DK20" s="449"/>
      <c r="DL20" s="449"/>
      <c r="DM20" s="449"/>
      <c r="DN20" s="449"/>
      <c r="DO20" s="449"/>
      <c r="DP20" s="449"/>
      <c r="DQ20" s="449"/>
      <c r="DR20" s="449"/>
      <c r="DS20" s="449"/>
      <c r="DT20" s="449"/>
      <c r="DU20" s="449"/>
      <c r="DV20" s="449"/>
      <c r="DW20" s="449"/>
      <c r="DX20" s="449"/>
      <c r="DY20" s="449"/>
      <c r="DZ20" s="449"/>
      <c r="EA20" s="449"/>
      <c r="EB20" s="449"/>
      <c r="EC20" s="449"/>
      <c r="ED20" s="449"/>
      <c r="EE20" s="449"/>
      <c r="EF20" s="449"/>
      <c r="EG20" s="449"/>
      <c r="EH20" s="449"/>
      <c r="EI20" s="449"/>
      <c r="EJ20" s="449"/>
      <c r="EK20" s="449"/>
      <c r="EL20" s="449"/>
      <c r="EM20" s="449"/>
      <c r="EN20" s="449"/>
      <c r="EO20" s="449"/>
      <c r="EP20" s="449"/>
      <c r="EQ20" s="449"/>
      <c r="ER20" s="449"/>
      <c r="ES20" s="449"/>
      <c r="ET20" s="449"/>
      <c r="EU20" s="449"/>
      <c r="EV20" s="449"/>
      <c r="EW20" s="449"/>
      <c r="EX20" s="449"/>
      <c r="EY20" s="449"/>
      <c r="EZ20" s="449"/>
      <c r="FA20" s="449"/>
      <c r="FB20" s="449"/>
      <c r="FC20" s="449"/>
      <c r="FD20" s="449"/>
      <c r="FE20" s="449"/>
      <c r="FF20" s="449"/>
      <c r="FG20" s="449"/>
      <c r="FH20" s="449"/>
      <c r="FI20" s="449"/>
      <c r="FJ20" s="449"/>
      <c r="FK20" s="449"/>
      <c r="FL20" s="449"/>
      <c r="FM20" s="449"/>
      <c r="FN20" s="449"/>
      <c r="FO20" s="449"/>
      <c r="FP20" s="449"/>
      <c r="FQ20" s="449"/>
      <c r="FR20" s="449"/>
      <c r="FS20" s="449"/>
      <c r="FT20" s="449"/>
      <c r="FU20" s="449"/>
      <c r="FV20" s="449"/>
      <c r="FW20" s="449"/>
      <c r="FX20" s="449"/>
      <c r="FY20" s="449"/>
      <c r="FZ20" s="449"/>
      <c r="GA20" s="449"/>
      <c r="GB20" s="449"/>
      <c r="GC20" s="449"/>
      <c r="GD20" s="449"/>
      <c r="GE20" s="449"/>
      <c r="GF20" s="449"/>
      <c r="GG20" s="449"/>
      <c r="GH20" s="449"/>
      <c r="GI20" s="449"/>
      <c r="GJ20" s="449"/>
      <c r="GK20" s="449"/>
      <c r="GL20" s="449"/>
      <c r="GM20" s="449"/>
      <c r="GN20" s="449"/>
      <c r="GO20" s="449"/>
      <c r="GP20" s="449"/>
      <c r="GQ20" s="449"/>
      <c r="GR20" s="449"/>
      <c r="GS20" s="449"/>
      <c r="GT20" s="449"/>
      <c r="GU20" s="449"/>
      <c r="GV20" s="449"/>
      <c r="GW20" s="449"/>
      <c r="GX20" s="449"/>
      <c r="GY20" s="449"/>
      <c r="GZ20" s="449"/>
      <c r="HA20" s="449"/>
      <c r="HB20" s="449"/>
      <c r="HC20" s="449"/>
      <c r="HD20" s="449"/>
      <c r="HE20" s="449"/>
      <c r="HF20" s="449"/>
      <c r="HG20" s="449"/>
      <c r="HH20" s="449"/>
      <c r="HI20" s="449"/>
      <c r="HJ20" s="449"/>
      <c r="HK20" s="449"/>
      <c r="HL20" s="449"/>
      <c r="HM20" s="449"/>
      <c r="HN20" s="449"/>
      <c r="HO20" s="449"/>
      <c r="HP20" s="449"/>
      <c r="HQ20" s="449"/>
      <c r="HR20" s="449"/>
      <c r="HS20" s="449"/>
      <c r="HT20" s="449"/>
      <c r="HU20" s="449"/>
      <c r="HV20" s="449"/>
      <c r="HW20" s="449"/>
      <c r="HX20" s="449"/>
      <c r="HY20" s="449"/>
      <c r="HZ20" s="449"/>
      <c r="IA20" s="449"/>
      <c r="IB20" s="449"/>
      <c r="IC20" s="449"/>
      <c r="ID20" s="449"/>
      <c r="IE20" s="449"/>
      <c r="IF20" s="449"/>
      <c r="IG20" s="449"/>
      <c r="IH20" s="449"/>
      <c r="II20" s="449"/>
      <c r="IJ20" s="449"/>
      <c r="IK20" s="449"/>
      <c r="IL20" s="449"/>
    </row>
    <row r="21" spans="2:246" s="218" customFormat="1" ht="78" customHeight="1">
      <c r="B21" s="217"/>
      <c r="C21" s="216">
        <v>1</v>
      </c>
      <c r="D21" s="1130" t="s">
        <v>24</v>
      </c>
      <c r="E21" s="1152"/>
      <c r="F21" s="1152"/>
      <c r="G21" s="1152"/>
      <c r="H21" s="1152"/>
      <c r="I21" s="1152"/>
      <c r="J21" s="1152"/>
      <c r="K21" s="1152"/>
      <c r="L21" s="1152"/>
      <c r="M21" s="1152"/>
      <c r="N21" s="1152"/>
      <c r="O21" s="1153"/>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c r="AW21" s="449"/>
      <c r="AX21" s="449"/>
      <c r="AY21" s="449"/>
      <c r="AZ21" s="449"/>
      <c r="BA21" s="449"/>
      <c r="BB21" s="449"/>
      <c r="BC21" s="449"/>
      <c r="BD21" s="449"/>
      <c r="BE21" s="449"/>
      <c r="BF21" s="449"/>
      <c r="BG21" s="449"/>
      <c r="BH21" s="449"/>
      <c r="BI21" s="449"/>
      <c r="BJ21" s="449"/>
      <c r="BK21" s="449"/>
      <c r="BL21" s="449"/>
      <c r="BM21" s="449"/>
      <c r="BN21" s="449"/>
      <c r="BO21" s="449"/>
      <c r="BP21" s="449"/>
      <c r="BQ21" s="449"/>
      <c r="BR21" s="449"/>
      <c r="BS21" s="449"/>
      <c r="BT21" s="449"/>
      <c r="BU21" s="449"/>
      <c r="BV21" s="449"/>
      <c r="BW21" s="449"/>
      <c r="BX21" s="449"/>
      <c r="BY21" s="449"/>
      <c r="BZ21" s="449"/>
      <c r="CA21" s="449"/>
      <c r="CB21" s="449"/>
      <c r="CC21" s="449"/>
      <c r="CD21" s="449"/>
      <c r="CE21" s="449"/>
      <c r="CF21" s="449"/>
      <c r="CG21" s="449"/>
      <c r="CH21" s="449"/>
      <c r="CI21" s="449"/>
      <c r="CJ21" s="449"/>
      <c r="CK21" s="449"/>
      <c r="CL21" s="449"/>
      <c r="CM21" s="449"/>
      <c r="CN21" s="449"/>
      <c r="CO21" s="449"/>
      <c r="CP21" s="449"/>
      <c r="CQ21" s="449"/>
      <c r="CR21" s="449"/>
      <c r="CS21" s="449"/>
      <c r="CT21" s="449"/>
      <c r="CU21" s="449"/>
      <c r="CV21" s="449"/>
      <c r="CW21" s="449"/>
      <c r="CX21" s="449"/>
      <c r="CY21" s="449"/>
      <c r="CZ21" s="449"/>
      <c r="DA21" s="449"/>
      <c r="DB21" s="449"/>
      <c r="DC21" s="449"/>
      <c r="DD21" s="449"/>
      <c r="DE21" s="449"/>
      <c r="DF21" s="449"/>
      <c r="DG21" s="449"/>
      <c r="DH21" s="449"/>
      <c r="DI21" s="449"/>
      <c r="DJ21" s="449"/>
      <c r="DK21" s="449"/>
      <c r="DL21" s="449"/>
      <c r="DM21" s="449"/>
      <c r="DN21" s="449"/>
      <c r="DO21" s="449"/>
      <c r="DP21" s="449"/>
      <c r="DQ21" s="449"/>
      <c r="DR21" s="449"/>
      <c r="DS21" s="449"/>
      <c r="DT21" s="449"/>
      <c r="DU21" s="449"/>
      <c r="DV21" s="449"/>
      <c r="DW21" s="449"/>
      <c r="DX21" s="449"/>
      <c r="DY21" s="449"/>
      <c r="DZ21" s="449"/>
      <c r="EA21" s="449"/>
      <c r="EB21" s="449"/>
      <c r="EC21" s="449"/>
      <c r="ED21" s="449"/>
      <c r="EE21" s="449"/>
      <c r="EF21" s="449"/>
      <c r="EG21" s="449"/>
      <c r="EH21" s="449"/>
      <c r="EI21" s="449"/>
      <c r="EJ21" s="449"/>
      <c r="EK21" s="449"/>
      <c r="EL21" s="449"/>
      <c r="EM21" s="449"/>
      <c r="EN21" s="449"/>
      <c r="EO21" s="449"/>
      <c r="EP21" s="449"/>
      <c r="EQ21" s="449"/>
      <c r="ER21" s="449"/>
      <c r="ES21" s="449"/>
      <c r="ET21" s="449"/>
      <c r="EU21" s="449"/>
      <c r="EV21" s="449"/>
      <c r="EW21" s="449"/>
      <c r="EX21" s="449"/>
      <c r="EY21" s="449"/>
      <c r="EZ21" s="449"/>
      <c r="FA21" s="449"/>
      <c r="FB21" s="449"/>
      <c r="FC21" s="449"/>
      <c r="FD21" s="449"/>
      <c r="FE21" s="449"/>
      <c r="FF21" s="449"/>
      <c r="FG21" s="449"/>
      <c r="FH21" s="449"/>
      <c r="FI21" s="449"/>
      <c r="FJ21" s="449"/>
      <c r="FK21" s="449"/>
      <c r="FL21" s="449"/>
      <c r="FM21" s="449"/>
      <c r="FN21" s="449"/>
      <c r="FO21" s="449"/>
      <c r="FP21" s="449"/>
      <c r="FQ21" s="449"/>
      <c r="FR21" s="449"/>
      <c r="FS21" s="449"/>
      <c r="FT21" s="449"/>
      <c r="FU21" s="449"/>
      <c r="FV21" s="449"/>
      <c r="FW21" s="449"/>
      <c r="FX21" s="449"/>
      <c r="FY21" s="449"/>
      <c r="FZ21" s="449"/>
      <c r="GA21" s="449"/>
      <c r="GB21" s="449"/>
      <c r="GC21" s="449"/>
      <c r="GD21" s="449"/>
      <c r="GE21" s="449"/>
      <c r="GF21" s="449"/>
      <c r="GG21" s="449"/>
      <c r="GH21" s="449"/>
      <c r="GI21" s="449"/>
      <c r="GJ21" s="449"/>
      <c r="GK21" s="449"/>
      <c r="GL21" s="449"/>
      <c r="GM21" s="449"/>
      <c r="GN21" s="449"/>
      <c r="GO21" s="449"/>
      <c r="GP21" s="449"/>
      <c r="GQ21" s="449"/>
      <c r="GR21" s="449"/>
      <c r="GS21" s="449"/>
      <c r="GT21" s="449"/>
      <c r="GU21" s="449"/>
      <c r="GV21" s="449"/>
      <c r="GW21" s="449"/>
      <c r="GX21" s="449"/>
      <c r="GY21" s="449"/>
      <c r="GZ21" s="449"/>
      <c r="HA21" s="449"/>
      <c r="HB21" s="449"/>
      <c r="HC21" s="449"/>
      <c r="HD21" s="449"/>
      <c r="HE21" s="449"/>
      <c r="HF21" s="449"/>
      <c r="HG21" s="449"/>
      <c r="HH21" s="449"/>
      <c r="HI21" s="449"/>
      <c r="HJ21" s="449"/>
      <c r="HK21" s="449"/>
      <c r="HL21" s="449"/>
      <c r="HM21" s="449"/>
      <c r="HN21" s="449"/>
      <c r="HO21" s="449"/>
      <c r="HP21" s="449"/>
      <c r="HQ21" s="449"/>
    </row>
    <row r="22" spans="2:246" s="218" customFormat="1" ht="23.25" customHeight="1">
      <c r="B22" s="217"/>
      <c r="C22" s="216">
        <f>C21+1</f>
        <v>2</v>
      </c>
      <c r="D22" s="1130" t="s">
        <v>25</v>
      </c>
      <c r="E22" s="1152"/>
      <c r="F22" s="1152"/>
      <c r="G22" s="1152"/>
      <c r="H22" s="1152"/>
      <c r="I22" s="1152"/>
      <c r="J22" s="1152"/>
      <c r="K22" s="1152"/>
      <c r="L22" s="1152"/>
      <c r="M22" s="1152"/>
      <c r="N22" s="1152"/>
      <c r="O22" s="1153"/>
      <c r="P22" s="449"/>
      <c r="Q22" s="449"/>
      <c r="R22" s="449"/>
      <c r="S22" s="449"/>
      <c r="T22" s="449"/>
      <c r="U22" s="449"/>
      <c r="V22" s="449"/>
      <c r="W22" s="449"/>
      <c r="X22" s="449"/>
      <c r="Y22" s="449"/>
      <c r="Z22" s="449"/>
      <c r="AA22" s="449"/>
      <c r="AB22" s="449"/>
      <c r="AC22" s="449"/>
      <c r="AD22" s="449"/>
      <c r="AE22" s="449"/>
      <c r="AF22" s="449"/>
      <c r="AG22" s="449"/>
      <c r="AH22" s="449"/>
      <c r="AI22" s="449"/>
      <c r="AJ22" s="449"/>
      <c r="AK22" s="449"/>
      <c r="AL22" s="449"/>
      <c r="AM22" s="449"/>
      <c r="AN22" s="449"/>
      <c r="AO22" s="449"/>
      <c r="AP22" s="449"/>
      <c r="AQ22" s="449"/>
      <c r="AR22" s="449"/>
      <c r="AS22" s="449"/>
      <c r="AT22" s="449"/>
      <c r="AU22" s="449"/>
      <c r="AV22" s="449"/>
      <c r="AW22" s="449"/>
      <c r="AX22" s="449"/>
      <c r="AY22" s="449"/>
      <c r="AZ22" s="449"/>
      <c r="BA22" s="449"/>
      <c r="BB22" s="449"/>
      <c r="BC22" s="449"/>
      <c r="BD22" s="449"/>
      <c r="BE22" s="449"/>
      <c r="BF22" s="449"/>
      <c r="BG22" s="449"/>
      <c r="BH22" s="449"/>
      <c r="BI22" s="449"/>
      <c r="BJ22" s="449"/>
      <c r="BK22" s="449"/>
      <c r="BL22" s="449"/>
      <c r="BM22" s="449"/>
      <c r="BN22" s="449"/>
      <c r="BO22" s="449"/>
      <c r="BP22" s="449"/>
      <c r="BQ22" s="449"/>
      <c r="BR22" s="449"/>
      <c r="BS22" s="449"/>
      <c r="BT22" s="449"/>
      <c r="BU22" s="449"/>
      <c r="BV22" s="449"/>
      <c r="BW22" s="449"/>
      <c r="BX22" s="449"/>
      <c r="BY22" s="449"/>
      <c r="BZ22" s="449"/>
      <c r="CA22" s="449"/>
      <c r="CB22" s="449"/>
      <c r="CC22" s="449"/>
      <c r="CD22" s="449"/>
      <c r="CE22" s="449"/>
      <c r="CF22" s="449"/>
      <c r="CG22" s="449"/>
      <c r="CH22" s="449"/>
      <c r="CI22" s="449"/>
      <c r="CJ22" s="449"/>
      <c r="CK22" s="449"/>
      <c r="CL22" s="449"/>
      <c r="CM22" s="449"/>
      <c r="CN22" s="449"/>
      <c r="CO22" s="449"/>
      <c r="CP22" s="449"/>
      <c r="CQ22" s="449"/>
      <c r="CR22" s="449"/>
      <c r="CS22" s="449"/>
      <c r="CT22" s="449"/>
      <c r="CU22" s="449"/>
      <c r="CV22" s="449"/>
      <c r="CW22" s="449"/>
      <c r="CX22" s="449"/>
      <c r="CY22" s="449"/>
      <c r="CZ22" s="449"/>
      <c r="DA22" s="449"/>
      <c r="DB22" s="449"/>
      <c r="DC22" s="449"/>
      <c r="DD22" s="449"/>
      <c r="DE22" s="449"/>
      <c r="DF22" s="449"/>
      <c r="DG22" s="449"/>
      <c r="DH22" s="449"/>
      <c r="DI22" s="449"/>
      <c r="DJ22" s="449"/>
      <c r="DK22" s="449"/>
      <c r="DL22" s="449"/>
      <c r="DM22" s="449"/>
      <c r="DN22" s="449"/>
      <c r="DO22" s="449"/>
      <c r="DP22" s="449"/>
      <c r="DQ22" s="449"/>
      <c r="DR22" s="449"/>
      <c r="DS22" s="449"/>
      <c r="DT22" s="449"/>
      <c r="DU22" s="449"/>
      <c r="DV22" s="449"/>
      <c r="DW22" s="449"/>
      <c r="DX22" s="449"/>
      <c r="DY22" s="449"/>
      <c r="DZ22" s="449"/>
      <c r="EA22" s="449"/>
      <c r="EB22" s="449"/>
      <c r="EC22" s="449"/>
      <c r="ED22" s="449"/>
      <c r="EE22" s="449"/>
      <c r="EF22" s="449"/>
      <c r="EG22" s="449"/>
      <c r="EH22" s="449"/>
      <c r="EI22" s="449"/>
      <c r="EJ22" s="449"/>
      <c r="EK22" s="449"/>
      <c r="EL22" s="449"/>
      <c r="EM22" s="449"/>
      <c r="EN22" s="449"/>
      <c r="EO22" s="449"/>
      <c r="EP22" s="449"/>
      <c r="EQ22" s="449"/>
      <c r="ER22" s="449"/>
      <c r="ES22" s="449"/>
      <c r="ET22" s="449"/>
      <c r="EU22" s="449"/>
      <c r="EV22" s="449"/>
      <c r="EW22" s="449"/>
      <c r="EX22" s="449"/>
      <c r="EY22" s="449"/>
      <c r="EZ22" s="449"/>
      <c r="FA22" s="449"/>
      <c r="FB22" s="449"/>
      <c r="FC22" s="449"/>
      <c r="FD22" s="449"/>
      <c r="FE22" s="449"/>
      <c r="FF22" s="449"/>
      <c r="FG22" s="449"/>
      <c r="FH22" s="449"/>
      <c r="FI22" s="449"/>
      <c r="FJ22" s="449"/>
      <c r="FK22" s="449"/>
      <c r="FL22" s="449"/>
      <c r="FM22" s="449"/>
      <c r="FN22" s="449"/>
      <c r="FO22" s="449"/>
      <c r="FP22" s="449"/>
      <c r="FQ22" s="449"/>
      <c r="FR22" s="449"/>
      <c r="FS22" s="449"/>
      <c r="FT22" s="449"/>
      <c r="FU22" s="449"/>
      <c r="FV22" s="449"/>
      <c r="FW22" s="449"/>
      <c r="FX22" s="449"/>
      <c r="FY22" s="449"/>
      <c r="FZ22" s="449"/>
      <c r="GA22" s="449"/>
      <c r="GB22" s="449"/>
      <c r="GC22" s="449"/>
      <c r="GD22" s="449"/>
      <c r="GE22" s="449"/>
      <c r="GF22" s="449"/>
      <c r="GG22" s="449"/>
      <c r="GH22" s="449"/>
      <c r="GI22" s="449"/>
      <c r="GJ22" s="449"/>
      <c r="GK22" s="449"/>
      <c r="GL22" s="449"/>
      <c r="GM22" s="449"/>
      <c r="GN22" s="449"/>
      <c r="GO22" s="449"/>
      <c r="GP22" s="449"/>
      <c r="GQ22" s="449"/>
      <c r="GR22" s="449"/>
      <c r="GS22" s="449"/>
      <c r="GT22" s="449"/>
      <c r="GU22" s="449"/>
      <c r="GV22" s="449"/>
      <c r="GW22" s="449"/>
      <c r="GX22" s="449"/>
      <c r="GY22" s="449"/>
      <c r="GZ22" s="449"/>
      <c r="HA22" s="449"/>
      <c r="HB22" s="449"/>
      <c r="HC22" s="449"/>
      <c r="HD22" s="449"/>
      <c r="HE22" s="449"/>
      <c r="HF22" s="449"/>
      <c r="HG22" s="449"/>
      <c r="HH22" s="449"/>
      <c r="HI22" s="449"/>
      <c r="HJ22" s="449"/>
      <c r="HK22" s="449"/>
      <c r="HL22" s="449"/>
      <c r="HM22" s="449"/>
      <c r="HN22" s="449"/>
      <c r="HO22" s="449"/>
      <c r="HP22" s="449"/>
      <c r="HQ22" s="449"/>
    </row>
    <row r="23" spans="2:246" s="218" customFormat="1" ht="23.25" customHeight="1">
      <c r="B23" s="217"/>
      <c r="C23" s="216">
        <v>3</v>
      </c>
      <c r="D23" s="1130" t="s">
        <v>26</v>
      </c>
      <c r="E23" s="1152"/>
      <c r="F23" s="1152"/>
      <c r="G23" s="1152"/>
      <c r="H23" s="1152"/>
      <c r="I23" s="1152"/>
      <c r="J23" s="1152"/>
      <c r="K23" s="1152"/>
      <c r="L23" s="1152"/>
      <c r="M23" s="1152"/>
      <c r="N23" s="1152"/>
      <c r="O23" s="1153"/>
      <c r="P23" s="449"/>
      <c r="Q23" s="449"/>
      <c r="R23" s="449"/>
      <c r="S23" s="449"/>
      <c r="T23" s="449"/>
      <c r="U23" s="449"/>
      <c r="V23" s="449"/>
      <c r="W23" s="449"/>
      <c r="X23" s="449"/>
      <c r="Y23" s="449"/>
      <c r="Z23" s="449"/>
      <c r="AA23" s="449"/>
      <c r="AB23" s="449"/>
      <c r="AC23" s="449"/>
      <c r="AD23" s="449"/>
      <c r="AE23" s="449"/>
      <c r="AF23" s="449"/>
      <c r="AG23" s="449"/>
      <c r="AH23" s="449"/>
      <c r="AI23" s="449"/>
      <c r="AJ23" s="449"/>
      <c r="AK23" s="449"/>
      <c r="AL23" s="449"/>
      <c r="AM23" s="449"/>
      <c r="AN23" s="449"/>
      <c r="AO23" s="449"/>
      <c r="AP23" s="449"/>
      <c r="AQ23" s="449"/>
      <c r="AR23" s="449"/>
      <c r="AS23" s="449"/>
      <c r="AT23" s="449"/>
      <c r="AU23" s="449"/>
      <c r="AV23" s="449"/>
      <c r="AW23" s="449"/>
      <c r="AX23" s="449"/>
      <c r="AY23" s="449"/>
      <c r="AZ23" s="449"/>
      <c r="BA23" s="449"/>
      <c r="BB23" s="449"/>
      <c r="BC23" s="449"/>
      <c r="BD23" s="449"/>
      <c r="BE23" s="449"/>
      <c r="BF23" s="449"/>
      <c r="BG23" s="449"/>
      <c r="BH23" s="449"/>
      <c r="BI23" s="449"/>
      <c r="BJ23" s="449"/>
      <c r="BK23" s="449"/>
      <c r="BL23" s="449"/>
      <c r="BM23" s="449"/>
      <c r="BN23" s="449"/>
      <c r="BO23" s="449"/>
      <c r="BP23" s="449"/>
      <c r="BQ23" s="449"/>
      <c r="BR23" s="449"/>
      <c r="BS23" s="449"/>
      <c r="BT23" s="449"/>
      <c r="BU23" s="449"/>
      <c r="BV23" s="449"/>
      <c r="BW23" s="449"/>
      <c r="BX23" s="449"/>
      <c r="BY23" s="449"/>
      <c r="BZ23" s="449"/>
      <c r="CA23" s="449"/>
      <c r="CB23" s="449"/>
      <c r="CC23" s="449"/>
      <c r="CD23" s="449"/>
      <c r="CE23" s="449"/>
      <c r="CF23" s="449"/>
      <c r="CG23" s="449"/>
      <c r="CH23" s="449"/>
      <c r="CI23" s="449"/>
      <c r="CJ23" s="449"/>
      <c r="CK23" s="449"/>
      <c r="CL23" s="449"/>
      <c r="CM23" s="449"/>
      <c r="CN23" s="449"/>
      <c r="CO23" s="449"/>
      <c r="CP23" s="449"/>
      <c r="CQ23" s="449"/>
      <c r="CR23" s="449"/>
      <c r="CS23" s="449"/>
      <c r="CT23" s="449"/>
      <c r="CU23" s="449"/>
      <c r="CV23" s="449"/>
      <c r="CW23" s="449"/>
      <c r="CX23" s="449"/>
      <c r="CY23" s="449"/>
      <c r="CZ23" s="449"/>
      <c r="DA23" s="449"/>
      <c r="DB23" s="449"/>
      <c r="DC23" s="449"/>
      <c r="DD23" s="449"/>
      <c r="DE23" s="449"/>
      <c r="DF23" s="449"/>
      <c r="DG23" s="449"/>
      <c r="DH23" s="449"/>
      <c r="DI23" s="449"/>
      <c r="DJ23" s="449"/>
      <c r="DK23" s="449"/>
      <c r="DL23" s="449"/>
      <c r="DM23" s="449"/>
      <c r="DN23" s="449"/>
      <c r="DO23" s="449"/>
      <c r="DP23" s="449"/>
      <c r="DQ23" s="449"/>
      <c r="DR23" s="449"/>
      <c r="DS23" s="449"/>
      <c r="DT23" s="449"/>
      <c r="DU23" s="449"/>
      <c r="DV23" s="449"/>
      <c r="DW23" s="449"/>
      <c r="DX23" s="449"/>
      <c r="DY23" s="449"/>
      <c r="DZ23" s="449"/>
      <c r="EA23" s="449"/>
      <c r="EB23" s="449"/>
      <c r="EC23" s="449"/>
      <c r="ED23" s="449"/>
      <c r="EE23" s="449"/>
      <c r="EF23" s="449"/>
      <c r="EG23" s="449"/>
      <c r="EH23" s="449"/>
      <c r="EI23" s="449"/>
      <c r="EJ23" s="449"/>
      <c r="EK23" s="449"/>
      <c r="EL23" s="449"/>
      <c r="EM23" s="449"/>
      <c r="EN23" s="449"/>
      <c r="EO23" s="449"/>
      <c r="EP23" s="449"/>
      <c r="EQ23" s="449"/>
      <c r="ER23" s="449"/>
      <c r="ES23" s="449"/>
      <c r="ET23" s="449"/>
      <c r="EU23" s="449"/>
      <c r="EV23" s="449"/>
      <c r="EW23" s="449"/>
      <c r="EX23" s="449"/>
      <c r="EY23" s="449"/>
      <c r="EZ23" s="449"/>
      <c r="FA23" s="449"/>
      <c r="FB23" s="449"/>
      <c r="FC23" s="449"/>
      <c r="FD23" s="449"/>
      <c r="FE23" s="449"/>
      <c r="FF23" s="449"/>
      <c r="FG23" s="449"/>
      <c r="FH23" s="449"/>
      <c r="FI23" s="449"/>
      <c r="FJ23" s="449"/>
      <c r="FK23" s="449"/>
      <c r="FL23" s="449"/>
      <c r="FM23" s="449"/>
      <c r="FN23" s="449"/>
      <c r="FO23" s="449"/>
      <c r="FP23" s="449"/>
      <c r="FQ23" s="449"/>
      <c r="FR23" s="449"/>
      <c r="FS23" s="449"/>
      <c r="FT23" s="449"/>
      <c r="FU23" s="449"/>
      <c r="FV23" s="449"/>
      <c r="FW23" s="449"/>
      <c r="FX23" s="449"/>
      <c r="FY23" s="449"/>
      <c r="FZ23" s="449"/>
      <c r="GA23" s="449"/>
      <c r="GB23" s="449"/>
      <c r="GC23" s="449"/>
      <c r="GD23" s="449"/>
      <c r="GE23" s="449"/>
      <c r="GF23" s="449"/>
      <c r="GG23" s="449"/>
      <c r="GH23" s="449"/>
      <c r="GI23" s="449"/>
      <c r="GJ23" s="449"/>
      <c r="GK23" s="449"/>
      <c r="GL23" s="449"/>
      <c r="GM23" s="449"/>
      <c r="GN23" s="449"/>
      <c r="GO23" s="449"/>
      <c r="GP23" s="449"/>
      <c r="GQ23" s="449"/>
      <c r="GR23" s="449"/>
      <c r="GS23" s="449"/>
      <c r="GT23" s="449"/>
      <c r="GU23" s="449"/>
      <c r="GV23" s="449"/>
      <c r="GW23" s="449"/>
      <c r="GX23" s="449"/>
      <c r="GY23" s="449"/>
      <c r="GZ23" s="449"/>
      <c r="HA23" s="449"/>
      <c r="HB23" s="449"/>
      <c r="HC23" s="449"/>
      <c r="HD23" s="449"/>
      <c r="HE23" s="449"/>
      <c r="HF23" s="449"/>
      <c r="HG23" s="449"/>
      <c r="HH23" s="449"/>
      <c r="HI23" s="449"/>
      <c r="HJ23" s="449"/>
      <c r="HK23" s="449"/>
      <c r="HL23" s="449"/>
      <c r="HM23" s="449"/>
      <c r="HN23" s="449"/>
      <c r="HO23" s="449"/>
      <c r="HP23" s="449"/>
      <c r="HQ23" s="449"/>
    </row>
    <row r="24" spans="2:246" ht="23.25" customHeight="1">
      <c r="C24" s="216">
        <v>4</v>
      </c>
      <c r="D24" s="1130" t="s">
        <v>27</v>
      </c>
      <c r="E24" s="1152"/>
      <c r="F24" s="1152"/>
      <c r="G24" s="1152"/>
      <c r="H24" s="1152"/>
      <c r="I24" s="1152"/>
      <c r="J24" s="1152"/>
      <c r="K24" s="1152"/>
      <c r="L24" s="1152"/>
      <c r="M24" s="1152"/>
      <c r="N24" s="1152"/>
      <c r="O24" s="1153"/>
      <c r="HR24" s="439"/>
      <c r="HS24" s="439"/>
      <c r="HT24" s="439"/>
      <c r="HU24" s="439"/>
      <c r="HV24" s="439"/>
      <c r="HW24" s="439"/>
      <c r="HX24" s="439"/>
      <c r="HY24" s="439"/>
      <c r="HZ24" s="439"/>
      <c r="IA24" s="439"/>
      <c r="IB24" s="439"/>
      <c r="IC24" s="439"/>
      <c r="ID24" s="439"/>
      <c r="IE24" s="439"/>
      <c r="IF24" s="439"/>
      <c r="IG24" s="439"/>
      <c r="IH24" s="439"/>
      <c r="II24" s="439"/>
      <c r="IJ24" s="439"/>
      <c r="IK24" s="439"/>
      <c r="IL24" s="439"/>
    </row>
    <row r="25" spans="2:246" ht="23.25" customHeight="1">
      <c r="C25" s="627"/>
      <c r="D25" s="1130" t="s">
        <v>1175</v>
      </c>
      <c r="E25" s="1152"/>
      <c r="F25" s="1152"/>
      <c r="G25" s="1152"/>
      <c r="H25" s="1152"/>
      <c r="I25" s="1152"/>
      <c r="J25" s="1152"/>
      <c r="K25" s="1152"/>
      <c r="L25" s="1152"/>
      <c r="M25" s="1152"/>
      <c r="N25" s="1152"/>
      <c r="O25" s="1153"/>
      <c r="HR25" s="439"/>
      <c r="HS25" s="439"/>
      <c r="HT25" s="439"/>
      <c r="HU25" s="439"/>
      <c r="HV25" s="439"/>
      <c r="HW25" s="439"/>
      <c r="HX25" s="439"/>
      <c r="HY25" s="439"/>
      <c r="HZ25" s="439"/>
      <c r="IA25" s="439"/>
      <c r="IB25" s="439"/>
      <c r="IC25" s="439"/>
      <c r="ID25" s="439"/>
      <c r="IE25" s="439"/>
      <c r="IF25" s="439"/>
      <c r="IG25" s="439"/>
      <c r="IH25" s="439"/>
      <c r="II25" s="439"/>
      <c r="IJ25" s="439"/>
      <c r="IK25" s="439"/>
      <c r="IL25" s="439"/>
    </row>
    <row r="26" spans="2:246" ht="23.25" customHeight="1">
      <c r="C26" s="628"/>
      <c r="D26" s="1130" t="s">
        <v>1178</v>
      </c>
      <c r="E26" s="1152"/>
      <c r="F26" s="1152"/>
      <c r="G26" s="1152"/>
      <c r="H26" s="1152"/>
      <c r="I26" s="1152"/>
      <c r="J26" s="1152"/>
      <c r="K26" s="1152"/>
      <c r="L26" s="1152"/>
      <c r="M26" s="1152"/>
      <c r="N26" s="1152"/>
      <c r="O26" s="1153"/>
      <c r="HR26" s="439"/>
      <c r="HS26" s="439"/>
      <c r="HT26" s="439"/>
      <c r="HU26" s="439"/>
      <c r="HV26" s="439"/>
      <c r="HW26" s="439"/>
      <c r="HX26" s="439"/>
      <c r="HY26" s="439"/>
      <c r="HZ26" s="439"/>
      <c r="IA26" s="439"/>
      <c r="IB26" s="439"/>
      <c r="IC26" s="439"/>
      <c r="ID26" s="439"/>
      <c r="IE26" s="439"/>
      <c r="IF26" s="439"/>
      <c r="IG26" s="439"/>
      <c r="IH26" s="439"/>
      <c r="II26" s="439"/>
      <c r="IJ26" s="439"/>
      <c r="IK26" s="439"/>
      <c r="IL26" s="439"/>
    </row>
    <row r="27" spans="2:246" ht="23.25" customHeight="1">
      <c r="C27" s="629"/>
      <c r="D27" s="1130" t="s">
        <v>1179</v>
      </c>
      <c r="E27" s="1152"/>
      <c r="F27" s="1152"/>
      <c r="G27" s="1152"/>
      <c r="H27" s="1152"/>
      <c r="I27" s="1152"/>
      <c r="J27" s="1152"/>
      <c r="K27" s="1152"/>
      <c r="L27" s="1152"/>
      <c r="M27" s="1152"/>
      <c r="N27" s="1152"/>
      <c r="O27" s="1153"/>
      <c r="HR27" s="439"/>
      <c r="HS27" s="439"/>
      <c r="HT27" s="439"/>
      <c r="HU27" s="439"/>
      <c r="HV27" s="439"/>
      <c r="HW27" s="439"/>
      <c r="HX27" s="439"/>
      <c r="HY27" s="439"/>
      <c r="HZ27" s="439"/>
      <c r="IA27" s="439"/>
      <c r="IB27" s="439"/>
      <c r="IC27" s="439"/>
      <c r="ID27" s="439"/>
      <c r="IE27" s="439"/>
      <c r="IF27" s="439"/>
      <c r="IG27" s="439"/>
      <c r="IH27" s="439"/>
      <c r="II27" s="439"/>
      <c r="IJ27" s="439"/>
      <c r="IK27" s="439"/>
      <c r="IL27" s="439"/>
    </row>
    <row r="28" spans="2:246" ht="30" customHeight="1">
      <c r="C28" s="630"/>
      <c r="D28" s="1130" t="s">
        <v>1180</v>
      </c>
      <c r="E28" s="1152"/>
      <c r="F28" s="1152"/>
      <c r="G28" s="1152"/>
      <c r="H28" s="1152"/>
      <c r="I28" s="1152"/>
      <c r="J28" s="1152"/>
      <c r="K28" s="1152"/>
      <c r="L28" s="1152"/>
      <c r="M28" s="1152"/>
      <c r="N28" s="1152"/>
      <c r="O28" s="1153"/>
      <c r="HR28" s="439"/>
      <c r="HS28" s="439"/>
      <c r="HT28" s="439"/>
      <c r="HU28" s="439"/>
      <c r="HV28" s="439"/>
      <c r="HW28" s="439"/>
      <c r="HX28" s="439"/>
      <c r="HY28" s="439"/>
      <c r="HZ28" s="439"/>
      <c r="IA28" s="439"/>
      <c r="IB28" s="439"/>
      <c r="IC28" s="439"/>
      <c r="ID28" s="439"/>
      <c r="IE28" s="439"/>
      <c r="IF28" s="439"/>
      <c r="IG28" s="439"/>
      <c r="IH28" s="439"/>
      <c r="II28" s="439"/>
      <c r="IJ28" s="439"/>
      <c r="IK28" s="439"/>
      <c r="IL28" s="439"/>
    </row>
    <row r="29" spans="2:246">
      <c r="E29" s="292"/>
      <c r="F29" s="292"/>
      <c r="G29" s="292"/>
      <c r="H29" s="292"/>
      <c r="I29" s="292"/>
      <c r="J29" s="292"/>
      <c r="K29" s="292"/>
      <c r="HS29" s="439"/>
      <c r="HT29" s="439"/>
      <c r="HU29" s="439"/>
      <c r="HV29" s="439"/>
      <c r="HW29" s="439"/>
      <c r="HX29" s="439"/>
      <c r="HY29" s="439"/>
      <c r="HZ29" s="439"/>
      <c r="IA29" s="439"/>
      <c r="IB29" s="439"/>
      <c r="IC29" s="439"/>
      <c r="ID29" s="439"/>
      <c r="IE29" s="439"/>
      <c r="IF29" s="439"/>
      <c r="IG29" s="439"/>
      <c r="IH29" s="439"/>
      <c r="II29" s="439"/>
      <c r="IJ29" s="439"/>
      <c r="IK29" s="439"/>
      <c r="IL29" s="439"/>
    </row>
    <row r="30" spans="2:246">
      <c r="HS30" s="439"/>
      <c r="HT30" s="439"/>
      <c r="HU30" s="439"/>
      <c r="HV30" s="439"/>
      <c r="HW30" s="439"/>
      <c r="HX30" s="439"/>
      <c r="HY30" s="439"/>
      <c r="HZ30" s="439"/>
      <c r="IA30" s="439"/>
      <c r="IB30" s="439"/>
      <c r="IC30" s="439"/>
      <c r="ID30" s="439"/>
      <c r="IE30" s="439"/>
      <c r="IF30" s="439"/>
      <c r="IG30" s="439"/>
      <c r="IH30" s="439"/>
      <c r="II30" s="439"/>
      <c r="IJ30" s="439"/>
      <c r="IK30" s="439"/>
      <c r="IL30" s="439"/>
    </row>
    <row r="31" spans="2:246">
      <c r="HS31" s="439"/>
      <c r="HT31" s="439"/>
      <c r="HU31" s="439"/>
      <c r="HV31" s="439"/>
      <c r="HW31" s="439"/>
      <c r="HX31" s="439"/>
      <c r="HY31" s="439"/>
      <c r="HZ31" s="439"/>
      <c r="IA31" s="439"/>
      <c r="IB31" s="439"/>
      <c r="IC31" s="439"/>
      <c r="ID31" s="439"/>
      <c r="IE31" s="439"/>
      <c r="IF31" s="439"/>
      <c r="IG31" s="439"/>
      <c r="IH31" s="439"/>
      <c r="II31" s="439"/>
      <c r="IJ31" s="439"/>
      <c r="IK31" s="439"/>
      <c r="IL31" s="439"/>
    </row>
  </sheetData>
  <mergeCells count="11">
    <mergeCell ref="C3:N3"/>
    <mergeCell ref="D25:O25"/>
    <mergeCell ref="D26:O26"/>
    <mergeCell ref="D27:O27"/>
    <mergeCell ref="D28:O28"/>
    <mergeCell ref="C14:O14"/>
    <mergeCell ref="D21:O21"/>
    <mergeCell ref="D22:O22"/>
    <mergeCell ref="D23:O23"/>
    <mergeCell ref="D24:O24"/>
    <mergeCell ref="D8:L8"/>
  </mergeCells>
  <printOptions horizontalCentered="1" verticalCentered="1"/>
  <pageMargins left="0.51181102362204722" right="0.51181102362204722" top="0.78740157480314965" bottom="0.78740157480314965" header="0.31496062992125984" footer="0.31496062992125984"/>
  <pageSetup paperSize="9" scale="50" orientation="landscape"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AD24"/>
  <sheetViews>
    <sheetView showGridLines="0" zoomScale="80" zoomScaleNormal="80" workbookViewId="0">
      <selection activeCell="E17" sqref="E17"/>
    </sheetView>
  </sheetViews>
  <sheetFormatPr defaultColWidth="9.140625" defaultRowHeight="18"/>
  <cols>
    <col min="1" max="2" width="9.140625" style="2"/>
    <col min="3" max="3" width="4.28515625" style="2" customWidth="1"/>
    <col min="4" max="5" width="28.5703125" style="2" customWidth="1"/>
    <col min="6" max="6" width="9.140625" style="1"/>
    <col min="7" max="7" width="10.140625" style="4" customWidth="1"/>
    <col min="8" max="8" width="22" style="5" customWidth="1"/>
    <col min="9" max="9" width="22.140625" style="1" customWidth="1"/>
    <col min="10" max="10" width="23.85546875" style="5" customWidth="1"/>
    <col min="11" max="11" width="23.28515625" style="5" customWidth="1"/>
    <col min="12" max="12" width="18" style="1" customWidth="1"/>
    <col min="13" max="13" width="21" style="1" customWidth="1"/>
    <col min="14" max="14" width="21.28515625" style="1" customWidth="1"/>
    <col min="15" max="15" width="13.5703125" style="6" customWidth="1"/>
    <col min="16" max="16" width="18.28515625" style="1" customWidth="1"/>
    <col min="17" max="17" width="9.28515625" style="1" customWidth="1"/>
    <col min="18" max="18" width="13.42578125" style="1" customWidth="1"/>
    <col min="19" max="19" width="24.5703125" style="5" customWidth="1"/>
    <col min="20" max="20" width="26.5703125" style="1" customWidth="1"/>
    <col min="21" max="22" width="23.7109375" style="5" customWidth="1"/>
    <col min="23" max="24" width="21.85546875" style="5" customWidth="1"/>
    <col min="25" max="25" width="25.7109375" style="5" customWidth="1"/>
    <col min="26" max="26" width="15.42578125" style="1" customWidth="1"/>
    <col min="27" max="30" width="9.140625" style="1"/>
    <col min="31" max="16384" width="9.140625" style="2"/>
  </cols>
  <sheetData>
    <row r="2" spans="2:26">
      <c r="B2" s="7"/>
      <c r="C2" s="7"/>
      <c r="D2" s="7"/>
    </row>
    <row r="3" spans="2:26" ht="18" customHeight="1">
      <c r="B3" s="1197" t="s">
        <v>985</v>
      </c>
      <c r="C3" s="1197"/>
      <c r="D3" s="1197"/>
      <c r="E3" s="227"/>
      <c r="F3" s="1185" t="s">
        <v>986</v>
      </c>
      <c r="G3" s="1186"/>
      <c r="H3" s="1187"/>
      <c r="I3" s="42" t="s">
        <v>921</v>
      </c>
      <c r="Q3" s="1188" t="s">
        <v>986</v>
      </c>
      <c r="R3" s="1189"/>
      <c r="S3" s="1189"/>
      <c r="T3" s="64" t="s">
        <v>923</v>
      </c>
    </row>
    <row r="4" spans="2:26" s="1" customFormat="1">
      <c r="B4" s="1197"/>
      <c r="C4" s="1197"/>
      <c r="D4" s="1197"/>
      <c r="E4" s="227"/>
      <c r="F4" s="1203" t="s">
        <v>11</v>
      </c>
      <c r="G4" s="1205" t="s">
        <v>906</v>
      </c>
      <c r="H4" s="9" t="s">
        <v>739</v>
      </c>
      <c r="I4" s="43" t="s">
        <v>741</v>
      </c>
      <c r="J4" s="44" t="s">
        <v>743</v>
      </c>
      <c r="K4" s="16" t="s">
        <v>745</v>
      </c>
      <c r="L4" s="13" t="s">
        <v>747</v>
      </c>
      <c r="M4" s="13" t="s">
        <v>749</v>
      </c>
      <c r="N4" s="45" t="s">
        <v>751</v>
      </c>
      <c r="O4" s="46" t="s">
        <v>755</v>
      </c>
      <c r="Q4" s="1207" t="s">
        <v>11</v>
      </c>
      <c r="R4" s="1208" t="s">
        <v>906</v>
      </c>
      <c r="S4" s="13" t="s">
        <v>739</v>
      </c>
      <c r="T4" s="43" t="s">
        <v>741</v>
      </c>
      <c r="U4" s="44" t="s">
        <v>743</v>
      </c>
      <c r="V4" s="16" t="s">
        <v>745</v>
      </c>
      <c r="W4" s="13" t="s">
        <v>747</v>
      </c>
      <c r="X4" s="13" t="s">
        <v>749</v>
      </c>
      <c r="Y4" s="45" t="s">
        <v>751</v>
      </c>
      <c r="Z4" s="46" t="s">
        <v>755</v>
      </c>
    </row>
    <row r="5" spans="2:26" s="1" customFormat="1" ht="83.25" customHeight="1">
      <c r="B5" s="1190" t="s">
        <v>987</v>
      </c>
      <c r="C5" s="1190"/>
      <c r="D5" s="10" t="s">
        <v>988</v>
      </c>
      <c r="E5" s="228"/>
      <c r="F5" s="1204"/>
      <c r="G5" s="1206"/>
      <c r="H5" s="12" t="s">
        <v>989</v>
      </c>
      <c r="I5" s="47" t="s">
        <v>990</v>
      </c>
      <c r="J5" s="48" t="s">
        <v>991</v>
      </c>
      <c r="K5" s="49" t="s">
        <v>992</v>
      </c>
      <c r="L5" s="49" t="s">
        <v>993</v>
      </c>
      <c r="M5" s="50" t="s">
        <v>994</v>
      </c>
      <c r="N5" s="50" t="s">
        <v>995</v>
      </c>
      <c r="O5" s="51" t="s">
        <v>996</v>
      </c>
      <c r="Q5" s="1207"/>
      <c r="R5" s="1208"/>
      <c r="S5" s="65" t="s">
        <v>989</v>
      </c>
      <c r="T5" s="47" t="s">
        <v>997</v>
      </c>
      <c r="U5" s="48" t="s">
        <v>991</v>
      </c>
      <c r="V5" s="49" t="s">
        <v>992</v>
      </c>
      <c r="W5" s="49" t="s">
        <v>993</v>
      </c>
      <c r="X5" s="50" t="s">
        <v>994</v>
      </c>
      <c r="Y5" s="50" t="s">
        <v>998</v>
      </c>
      <c r="Z5" s="51" t="s">
        <v>999</v>
      </c>
    </row>
    <row r="6" spans="2:26" s="1" customFormat="1" ht="33" customHeight="1">
      <c r="B6" s="1198" t="s">
        <v>1000</v>
      </c>
      <c r="C6" s="1198"/>
      <c r="D6" s="13" t="s">
        <v>1001</v>
      </c>
      <c r="F6" s="14">
        <v>1</v>
      </c>
      <c r="G6" s="28"/>
      <c r="H6" s="16">
        <v>0</v>
      </c>
      <c r="I6" s="52">
        <v>0</v>
      </c>
      <c r="J6" s="53">
        <v>0</v>
      </c>
      <c r="K6" s="54">
        <v>0</v>
      </c>
      <c r="L6" s="16">
        <f t="shared" ref="L6:L17" si="0">I6-J6-K6</f>
        <v>0</v>
      </c>
      <c r="M6" s="55">
        <v>0</v>
      </c>
      <c r="N6" s="16">
        <f>I6-J6-M6</f>
        <v>0</v>
      </c>
      <c r="O6" s="56" t="str">
        <f>IFERROR(N6/H6," ")</f>
        <v/>
      </c>
      <c r="P6" s="6"/>
      <c r="Q6" s="14">
        <v>1</v>
      </c>
      <c r="R6" s="28"/>
      <c r="S6" s="16">
        <f t="shared" ref="S6:S17" si="1">H6</f>
        <v>0</v>
      </c>
      <c r="T6" s="52">
        <v>0</v>
      </c>
      <c r="U6" s="53">
        <v>0</v>
      </c>
      <c r="V6" s="54">
        <v>0</v>
      </c>
      <c r="W6" s="16">
        <f t="shared" ref="W6:W17" si="2">T6-U6-V6</f>
        <v>0</v>
      </c>
      <c r="X6" s="55">
        <v>0</v>
      </c>
      <c r="Y6" s="16">
        <f>T6-U6-X6</f>
        <v>0</v>
      </c>
      <c r="Z6" s="56" t="str">
        <f>IFERROR(Y6/S6," ")</f>
        <v/>
      </c>
    </row>
    <row r="7" spans="2:26" s="1" customFormat="1" ht="33" customHeight="1">
      <c r="B7" s="1198"/>
      <c r="C7" s="1198"/>
      <c r="D7" s="13" t="s">
        <v>1002</v>
      </c>
      <c r="F7" s="14">
        <f t="shared" ref="F7:F17" si="3">1+F6</f>
        <v>2</v>
      </c>
      <c r="G7" s="28"/>
      <c r="H7" s="16">
        <v>0</v>
      </c>
      <c r="I7" s="52">
        <v>0</v>
      </c>
      <c r="J7" s="53">
        <v>0</v>
      </c>
      <c r="K7" s="54">
        <v>0</v>
      </c>
      <c r="L7" s="16">
        <f t="shared" si="0"/>
        <v>0</v>
      </c>
      <c r="M7" s="55">
        <v>0</v>
      </c>
      <c r="N7" s="16">
        <f>I7-J7-M7</f>
        <v>0</v>
      </c>
      <c r="O7" s="56" t="str">
        <f t="shared" ref="O7:O17" si="4">IFERROR(N7/H7," ")</f>
        <v/>
      </c>
      <c r="Q7" s="14">
        <f t="shared" ref="Q7:Q17" si="5">Q6+1</f>
        <v>2</v>
      </c>
      <c r="R7" s="28"/>
      <c r="S7" s="16">
        <f t="shared" si="1"/>
        <v>0</v>
      </c>
      <c r="T7" s="52">
        <v>0</v>
      </c>
      <c r="U7" s="53">
        <v>0</v>
      </c>
      <c r="V7" s="54">
        <v>0</v>
      </c>
      <c r="W7" s="16">
        <f t="shared" si="2"/>
        <v>0</v>
      </c>
      <c r="X7" s="55">
        <v>0</v>
      </c>
      <c r="Y7" s="16">
        <f>T7-U7-X7</f>
        <v>0</v>
      </c>
      <c r="Z7" s="56" t="str">
        <f t="shared" ref="Z7:Z17" si="6">IFERROR(Y7/S7," ")</f>
        <v/>
      </c>
    </row>
    <row r="8" spans="2:26" s="1" customFormat="1" ht="33" customHeight="1">
      <c r="B8" s="1198"/>
      <c r="C8" s="1198"/>
      <c r="D8" s="13" t="s">
        <v>1003</v>
      </c>
      <c r="F8" s="14">
        <f t="shared" si="3"/>
        <v>3</v>
      </c>
      <c r="G8" s="28"/>
      <c r="H8" s="16">
        <v>0</v>
      </c>
      <c r="I8" s="52">
        <v>0</v>
      </c>
      <c r="J8" s="53">
        <v>0</v>
      </c>
      <c r="K8" s="54">
        <v>0</v>
      </c>
      <c r="L8" s="16">
        <f t="shared" si="0"/>
        <v>0</v>
      </c>
      <c r="M8" s="55">
        <v>0</v>
      </c>
      <c r="N8" s="16">
        <f t="shared" ref="N8:N17" si="7">I8-J8-M8</f>
        <v>0</v>
      </c>
      <c r="O8" s="56" t="str">
        <f t="shared" si="4"/>
        <v/>
      </c>
      <c r="Q8" s="14">
        <f t="shared" si="5"/>
        <v>3</v>
      </c>
      <c r="R8" s="28"/>
      <c r="S8" s="16">
        <f t="shared" si="1"/>
        <v>0</v>
      </c>
      <c r="T8" s="52">
        <v>0</v>
      </c>
      <c r="U8" s="53">
        <v>0</v>
      </c>
      <c r="V8" s="54">
        <v>0</v>
      </c>
      <c r="W8" s="16">
        <f t="shared" si="2"/>
        <v>0</v>
      </c>
      <c r="X8" s="55">
        <v>0</v>
      </c>
      <c r="Y8" s="16">
        <f t="shared" ref="Y8:Y17" si="8">T8-U8-X8</f>
        <v>0</v>
      </c>
      <c r="Z8" s="56" t="str">
        <f t="shared" si="6"/>
        <v/>
      </c>
    </row>
    <row r="9" spans="2:26" s="1" customFormat="1" ht="33" customHeight="1">
      <c r="B9" s="1198"/>
      <c r="C9" s="1198"/>
      <c r="D9" s="13" t="s">
        <v>1004</v>
      </c>
      <c r="F9" s="14">
        <f t="shared" si="3"/>
        <v>4</v>
      </c>
      <c r="G9" s="28"/>
      <c r="H9" s="16">
        <v>0</v>
      </c>
      <c r="I9" s="52">
        <v>0</v>
      </c>
      <c r="J9" s="53">
        <v>0</v>
      </c>
      <c r="K9" s="54">
        <v>0</v>
      </c>
      <c r="L9" s="16">
        <f t="shared" si="0"/>
        <v>0</v>
      </c>
      <c r="M9" s="55">
        <v>0</v>
      </c>
      <c r="N9" s="16">
        <f t="shared" si="7"/>
        <v>0</v>
      </c>
      <c r="O9" s="56" t="str">
        <f t="shared" si="4"/>
        <v/>
      </c>
      <c r="Q9" s="14">
        <f t="shared" si="5"/>
        <v>4</v>
      </c>
      <c r="R9" s="28"/>
      <c r="S9" s="16">
        <f t="shared" si="1"/>
        <v>0</v>
      </c>
      <c r="T9" s="52">
        <v>0</v>
      </c>
      <c r="U9" s="53">
        <v>0</v>
      </c>
      <c r="V9" s="54">
        <v>0</v>
      </c>
      <c r="W9" s="16">
        <f t="shared" si="2"/>
        <v>0</v>
      </c>
      <c r="X9" s="55">
        <v>0</v>
      </c>
      <c r="Y9" s="16">
        <f t="shared" si="8"/>
        <v>0</v>
      </c>
      <c r="Z9" s="56" t="str">
        <f t="shared" si="6"/>
        <v/>
      </c>
    </row>
    <row r="10" spans="2:26" s="1" customFormat="1" ht="33" customHeight="1">
      <c r="B10" s="1199" t="s">
        <v>1005</v>
      </c>
      <c r="C10" s="1199"/>
      <c r="D10" s="13" t="s">
        <v>1006</v>
      </c>
      <c r="E10" s="5"/>
      <c r="F10" s="14">
        <f t="shared" si="3"/>
        <v>5</v>
      </c>
      <c r="G10" s="28"/>
      <c r="H10" s="16">
        <v>0</v>
      </c>
      <c r="I10" s="52">
        <v>0</v>
      </c>
      <c r="J10" s="53">
        <v>0</v>
      </c>
      <c r="K10" s="54">
        <v>0</v>
      </c>
      <c r="L10" s="16">
        <f t="shared" si="0"/>
        <v>0</v>
      </c>
      <c r="M10" s="55">
        <v>0</v>
      </c>
      <c r="N10" s="16">
        <f t="shared" si="7"/>
        <v>0</v>
      </c>
      <c r="O10" s="56" t="str">
        <f t="shared" si="4"/>
        <v/>
      </c>
      <c r="Q10" s="14">
        <f t="shared" si="5"/>
        <v>5</v>
      </c>
      <c r="R10" s="28"/>
      <c r="S10" s="16">
        <f t="shared" si="1"/>
        <v>0</v>
      </c>
      <c r="T10" s="52">
        <v>0</v>
      </c>
      <c r="U10" s="53">
        <v>0</v>
      </c>
      <c r="V10" s="54">
        <v>0</v>
      </c>
      <c r="W10" s="16">
        <f t="shared" si="2"/>
        <v>0</v>
      </c>
      <c r="X10" s="55">
        <v>0</v>
      </c>
      <c r="Y10" s="16">
        <f t="shared" si="8"/>
        <v>0</v>
      </c>
      <c r="Z10" s="56" t="str">
        <f t="shared" si="6"/>
        <v/>
      </c>
    </row>
    <row r="11" spans="2:26" s="1" customFormat="1" ht="33" customHeight="1">
      <c r="B11" s="1199"/>
      <c r="C11" s="1199"/>
      <c r="D11" s="13" t="s">
        <v>1007</v>
      </c>
      <c r="E11" s="5"/>
      <c r="F11" s="14">
        <f t="shared" si="3"/>
        <v>6</v>
      </c>
      <c r="G11" s="28"/>
      <c r="H11" s="16">
        <v>0</v>
      </c>
      <c r="I11" s="52">
        <v>0</v>
      </c>
      <c r="J11" s="53">
        <v>0</v>
      </c>
      <c r="K11" s="54">
        <v>0</v>
      </c>
      <c r="L11" s="16">
        <f t="shared" si="0"/>
        <v>0</v>
      </c>
      <c r="M11" s="55">
        <v>0</v>
      </c>
      <c r="N11" s="16">
        <f t="shared" si="7"/>
        <v>0</v>
      </c>
      <c r="O11" s="56" t="str">
        <f t="shared" si="4"/>
        <v/>
      </c>
      <c r="Q11" s="14">
        <f t="shared" si="5"/>
        <v>6</v>
      </c>
      <c r="R11" s="28"/>
      <c r="S11" s="16">
        <f t="shared" si="1"/>
        <v>0</v>
      </c>
      <c r="T11" s="52">
        <v>0</v>
      </c>
      <c r="U11" s="53">
        <v>0</v>
      </c>
      <c r="V11" s="54">
        <v>0</v>
      </c>
      <c r="W11" s="16">
        <f t="shared" si="2"/>
        <v>0</v>
      </c>
      <c r="X11" s="55">
        <v>0</v>
      </c>
      <c r="Y11" s="16">
        <f t="shared" si="8"/>
        <v>0</v>
      </c>
      <c r="Z11" s="56" t="str">
        <f t="shared" si="6"/>
        <v/>
      </c>
    </row>
    <row r="12" spans="2:26" s="1" customFormat="1" ht="33" customHeight="1">
      <c r="B12" s="1199"/>
      <c r="C12" s="1199"/>
      <c r="D12" s="13" t="s">
        <v>1008</v>
      </c>
      <c r="F12" s="14">
        <f t="shared" si="3"/>
        <v>7</v>
      </c>
      <c r="G12" s="28"/>
      <c r="H12" s="16">
        <v>0</v>
      </c>
      <c r="I12" s="52">
        <v>0</v>
      </c>
      <c r="J12" s="53">
        <v>0</v>
      </c>
      <c r="K12" s="54">
        <v>0</v>
      </c>
      <c r="L12" s="16">
        <f t="shared" si="0"/>
        <v>0</v>
      </c>
      <c r="M12" s="55">
        <v>0</v>
      </c>
      <c r="N12" s="16">
        <f t="shared" si="7"/>
        <v>0</v>
      </c>
      <c r="O12" s="56" t="str">
        <f t="shared" si="4"/>
        <v/>
      </c>
      <c r="Q12" s="14">
        <f t="shared" si="5"/>
        <v>7</v>
      </c>
      <c r="R12" s="28"/>
      <c r="S12" s="16">
        <f t="shared" si="1"/>
        <v>0</v>
      </c>
      <c r="T12" s="52">
        <v>0</v>
      </c>
      <c r="U12" s="53">
        <v>0</v>
      </c>
      <c r="V12" s="54">
        <v>0</v>
      </c>
      <c r="W12" s="16">
        <f t="shared" si="2"/>
        <v>0</v>
      </c>
      <c r="X12" s="55">
        <v>0</v>
      </c>
      <c r="Y12" s="16">
        <f t="shared" si="8"/>
        <v>0</v>
      </c>
      <c r="Z12" s="56" t="str">
        <f t="shared" si="6"/>
        <v/>
      </c>
    </row>
    <row r="13" spans="2:26" s="1" customFormat="1" ht="33" customHeight="1">
      <c r="B13" s="1199"/>
      <c r="C13" s="1199"/>
      <c r="D13" s="13" t="s">
        <v>1009</v>
      </c>
      <c r="F13" s="14">
        <f t="shared" si="3"/>
        <v>8</v>
      </c>
      <c r="G13" s="28"/>
      <c r="H13" s="16">
        <v>0</v>
      </c>
      <c r="I13" s="52">
        <v>0</v>
      </c>
      <c r="J13" s="53">
        <v>0</v>
      </c>
      <c r="K13" s="54">
        <v>0</v>
      </c>
      <c r="L13" s="16">
        <f t="shared" si="0"/>
        <v>0</v>
      </c>
      <c r="M13" s="55">
        <v>0</v>
      </c>
      <c r="N13" s="16">
        <f t="shared" si="7"/>
        <v>0</v>
      </c>
      <c r="O13" s="56" t="str">
        <f t="shared" si="4"/>
        <v/>
      </c>
      <c r="Q13" s="14">
        <f t="shared" si="5"/>
        <v>8</v>
      </c>
      <c r="R13" s="28"/>
      <c r="S13" s="16">
        <f t="shared" si="1"/>
        <v>0</v>
      </c>
      <c r="T13" s="52">
        <v>0</v>
      </c>
      <c r="U13" s="53">
        <v>0</v>
      </c>
      <c r="V13" s="54">
        <v>0</v>
      </c>
      <c r="W13" s="16">
        <f t="shared" si="2"/>
        <v>0</v>
      </c>
      <c r="X13" s="55">
        <v>0</v>
      </c>
      <c r="Y13" s="16">
        <f t="shared" si="8"/>
        <v>0</v>
      </c>
      <c r="Z13" s="56" t="str">
        <f t="shared" si="6"/>
        <v/>
      </c>
    </row>
    <row r="14" spans="2:26" s="1" customFormat="1" ht="33" customHeight="1">
      <c r="D14" s="18"/>
      <c r="E14" s="5"/>
      <c r="F14" s="14">
        <f t="shared" si="3"/>
        <v>9</v>
      </c>
      <c r="G14" s="28"/>
      <c r="H14" s="16">
        <v>0</v>
      </c>
      <c r="I14" s="52">
        <v>0</v>
      </c>
      <c r="J14" s="53">
        <v>0</v>
      </c>
      <c r="K14" s="54">
        <v>0</v>
      </c>
      <c r="L14" s="16">
        <f t="shared" si="0"/>
        <v>0</v>
      </c>
      <c r="M14" s="55">
        <v>0</v>
      </c>
      <c r="N14" s="16">
        <f t="shared" si="7"/>
        <v>0</v>
      </c>
      <c r="O14" s="56" t="str">
        <f t="shared" si="4"/>
        <v/>
      </c>
      <c r="Q14" s="14">
        <f t="shared" si="5"/>
        <v>9</v>
      </c>
      <c r="R14" s="28"/>
      <c r="S14" s="16">
        <f t="shared" si="1"/>
        <v>0</v>
      </c>
      <c r="T14" s="52">
        <v>0</v>
      </c>
      <c r="U14" s="53">
        <v>0</v>
      </c>
      <c r="V14" s="54">
        <v>0</v>
      </c>
      <c r="W14" s="16">
        <f t="shared" si="2"/>
        <v>0</v>
      </c>
      <c r="X14" s="55">
        <v>0</v>
      </c>
      <c r="Y14" s="16">
        <f t="shared" si="8"/>
        <v>0</v>
      </c>
      <c r="Z14" s="56" t="str">
        <f t="shared" si="6"/>
        <v/>
      </c>
    </row>
    <row r="15" spans="2:26" s="1" customFormat="1" ht="33" customHeight="1">
      <c r="D15" s="5"/>
      <c r="E15" s="5"/>
      <c r="F15" s="14">
        <f t="shared" si="3"/>
        <v>10</v>
      </c>
      <c r="G15" s="28"/>
      <c r="H15" s="16">
        <v>0</v>
      </c>
      <c r="I15" s="52">
        <v>0</v>
      </c>
      <c r="J15" s="53">
        <v>0</v>
      </c>
      <c r="K15" s="54">
        <v>0</v>
      </c>
      <c r="L15" s="16">
        <f t="shared" si="0"/>
        <v>0</v>
      </c>
      <c r="M15" s="55">
        <v>0</v>
      </c>
      <c r="N15" s="16">
        <f t="shared" si="7"/>
        <v>0</v>
      </c>
      <c r="O15" s="56" t="str">
        <f t="shared" si="4"/>
        <v/>
      </c>
      <c r="Q15" s="14">
        <f t="shared" si="5"/>
        <v>10</v>
      </c>
      <c r="R15" s="28"/>
      <c r="S15" s="16">
        <f t="shared" si="1"/>
        <v>0</v>
      </c>
      <c r="T15" s="52">
        <v>0</v>
      </c>
      <c r="U15" s="53">
        <v>0</v>
      </c>
      <c r="V15" s="54">
        <v>0</v>
      </c>
      <c r="W15" s="16">
        <f t="shared" si="2"/>
        <v>0</v>
      </c>
      <c r="X15" s="55">
        <v>0</v>
      </c>
      <c r="Y15" s="16">
        <f t="shared" si="8"/>
        <v>0</v>
      </c>
      <c r="Z15" s="56" t="str">
        <f t="shared" si="6"/>
        <v/>
      </c>
    </row>
    <row r="16" spans="2:26" s="1" customFormat="1" ht="33" customHeight="1">
      <c r="D16" s="5"/>
      <c r="E16" s="5"/>
      <c r="F16" s="14">
        <f t="shared" si="3"/>
        <v>11</v>
      </c>
      <c r="G16" s="28"/>
      <c r="H16" s="16">
        <v>0</v>
      </c>
      <c r="I16" s="52">
        <v>0</v>
      </c>
      <c r="J16" s="53">
        <v>0</v>
      </c>
      <c r="K16" s="54">
        <v>0</v>
      </c>
      <c r="L16" s="16">
        <f t="shared" si="0"/>
        <v>0</v>
      </c>
      <c r="M16" s="55">
        <v>0</v>
      </c>
      <c r="N16" s="16">
        <f t="shared" si="7"/>
        <v>0</v>
      </c>
      <c r="O16" s="56" t="str">
        <f t="shared" si="4"/>
        <v/>
      </c>
      <c r="Q16" s="14">
        <f t="shared" si="5"/>
        <v>11</v>
      </c>
      <c r="R16" s="28"/>
      <c r="S16" s="16">
        <f t="shared" si="1"/>
        <v>0</v>
      </c>
      <c r="T16" s="52">
        <v>0</v>
      </c>
      <c r="U16" s="53">
        <v>0</v>
      </c>
      <c r="V16" s="54">
        <v>0</v>
      </c>
      <c r="W16" s="16">
        <f t="shared" si="2"/>
        <v>0</v>
      </c>
      <c r="X16" s="55">
        <v>0</v>
      </c>
      <c r="Y16" s="16">
        <f t="shared" si="8"/>
        <v>0</v>
      </c>
      <c r="Z16" s="56" t="str">
        <f t="shared" si="6"/>
        <v/>
      </c>
    </row>
    <row r="17" spans="4:26" s="1" customFormat="1" ht="33" customHeight="1">
      <c r="D17" s="5"/>
      <c r="E17" s="5"/>
      <c r="F17" s="20">
        <f t="shared" si="3"/>
        <v>12</v>
      </c>
      <c r="G17" s="229"/>
      <c r="H17" s="230">
        <v>0</v>
      </c>
      <c r="I17" s="52">
        <v>0</v>
      </c>
      <c r="J17" s="53">
        <v>0</v>
      </c>
      <c r="K17" s="54">
        <v>0</v>
      </c>
      <c r="L17" s="16">
        <f t="shared" si="0"/>
        <v>0</v>
      </c>
      <c r="M17" s="55">
        <v>0</v>
      </c>
      <c r="N17" s="16">
        <f t="shared" si="7"/>
        <v>0</v>
      </c>
      <c r="O17" s="56" t="str">
        <f t="shared" si="4"/>
        <v/>
      </c>
      <c r="Q17" s="66">
        <f t="shared" si="5"/>
        <v>12</v>
      </c>
      <c r="R17" s="232"/>
      <c r="S17" s="233">
        <f t="shared" si="1"/>
        <v>0</v>
      </c>
      <c r="T17" s="52">
        <v>0</v>
      </c>
      <c r="U17" s="53">
        <v>0</v>
      </c>
      <c r="V17" s="54">
        <v>0</v>
      </c>
      <c r="W17" s="16">
        <f t="shared" si="2"/>
        <v>0</v>
      </c>
      <c r="X17" s="55">
        <v>0</v>
      </c>
      <c r="Y17" s="16">
        <f t="shared" si="8"/>
        <v>0</v>
      </c>
      <c r="Z17" s="56" t="str">
        <f t="shared" si="6"/>
        <v/>
      </c>
    </row>
    <row r="18" spans="4:26" s="1" customFormat="1" ht="33" customHeight="1">
      <c r="F18" s="1191" t="s">
        <v>1010</v>
      </c>
      <c r="G18" s="1192"/>
      <c r="H18" s="23">
        <f>SUM(H6:H17)</f>
        <v>0</v>
      </c>
      <c r="I18" s="57"/>
      <c r="J18" s="1193" t="s">
        <v>1011</v>
      </c>
      <c r="K18" s="1193"/>
      <c r="L18" s="1193"/>
      <c r="M18" s="1193"/>
      <c r="N18" s="1194"/>
      <c r="O18" s="231" t="str">
        <f>IFERROR(AVERAGE(O6:O17)," ")</f>
        <v/>
      </c>
      <c r="Q18" s="1195" t="s">
        <v>1010</v>
      </c>
      <c r="R18" s="1196"/>
      <c r="S18" s="67">
        <f>SUM(S6:S17)</f>
        <v>0</v>
      </c>
      <c r="T18" s="68"/>
      <c r="U18" s="1209" t="s">
        <v>1012</v>
      </c>
      <c r="V18" s="1209"/>
      <c r="W18" s="1209"/>
      <c r="X18" s="1209"/>
      <c r="Y18" s="1210"/>
      <c r="Z18" s="234" t="str">
        <f>IFERROR(AVERAGE(Z6:Z17)," ")</f>
        <v/>
      </c>
    </row>
    <row r="19" spans="4:26" s="1" customFormat="1" ht="33" customHeight="1">
      <c r="F19" s="24" t="s">
        <v>15</v>
      </c>
      <c r="G19" s="4"/>
      <c r="H19" s="5"/>
      <c r="J19" s="5"/>
      <c r="K19" s="5"/>
      <c r="O19" s="6"/>
      <c r="Q19" s="24" t="s">
        <v>15</v>
      </c>
      <c r="R19" s="4"/>
      <c r="S19" s="5"/>
      <c r="U19" s="5"/>
      <c r="V19" s="5"/>
      <c r="Z19" s="6"/>
    </row>
    <row r="20" spans="4:26" s="1" customFormat="1" ht="33" customHeight="1">
      <c r="F20" s="13" t="s">
        <v>1013</v>
      </c>
      <c r="G20" s="1211" t="s">
        <v>1014</v>
      </c>
      <c r="H20" s="1212"/>
      <c r="I20" s="1212"/>
      <c r="J20" s="1212"/>
      <c r="K20" s="1212"/>
      <c r="L20" s="1212"/>
      <c r="M20" s="1212"/>
      <c r="N20" s="1212"/>
      <c r="O20" s="1213"/>
      <c r="Q20" s="13" t="s">
        <v>1013</v>
      </c>
      <c r="R20" s="1211" t="s">
        <v>1014</v>
      </c>
      <c r="S20" s="1212"/>
      <c r="T20" s="1212"/>
      <c r="U20" s="1212"/>
      <c r="V20" s="1212"/>
      <c r="W20" s="1212"/>
      <c r="X20" s="1212"/>
      <c r="Y20" s="1212"/>
      <c r="Z20" s="1213"/>
    </row>
    <row r="21" spans="4:26" ht="36" customHeight="1">
      <c r="F21" s="13" t="s">
        <v>1015</v>
      </c>
      <c r="G21" s="1211" t="s">
        <v>1016</v>
      </c>
      <c r="H21" s="1212"/>
      <c r="I21" s="1212"/>
      <c r="J21" s="1212"/>
      <c r="K21" s="1212"/>
      <c r="L21" s="1212"/>
      <c r="M21" s="1212"/>
      <c r="N21" s="1212"/>
      <c r="O21" s="1213"/>
      <c r="Q21" s="13" t="s">
        <v>1015</v>
      </c>
      <c r="R21" s="1211" t="s">
        <v>1016</v>
      </c>
      <c r="S21" s="1212"/>
      <c r="T21" s="1212"/>
      <c r="U21" s="1212"/>
      <c r="V21" s="1212"/>
      <c r="W21" s="1212"/>
      <c r="X21" s="1212"/>
      <c r="Y21" s="1212"/>
      <c r="Z21" s="1213"/>
    </row>
    <row r="22" spans="4:26" ht="72" customHeight="1">
      <c r="F22" s="13" t="s">
        <v>1017</v>
      </c>
      <c r="G22" s="1200" t="s">
        <v>1018</v>
      </c>
      <c r="H22" s="1201"/>
      <c r="I22" s="1201"/>
      <c r="J22" s="1201"/>
      <c r="K22" s="1201"/>
      <c r="L22" s="1201"/>
      <c r="M22" s="1201"/>
      <c r="N22" s="1201"/>
      <c r="O22" s="1202"/>
      <c r="Q22" s="13" t="s">
        <v>1017</v>
      </c>
      <c r="R22" s="1200" t="s">
        <v>1018</v>
      </c>
      <c r="S22" s="1201"/>
      <c r="T22" s="1201"/>
      <c r="U22" s="1201"/>
      <c r="V22" s="1201"/>
      <c r="W22" s="1201"/>
      <c r="X22" s="1201"/>
      <c r="Y22" s="1201"/>
      <c r="Z22" s="1202"/>
    </row>
    <row r="23" spans="4:26" ht="36" customHeight="1"/>
    <row r="24" spans="4:26" s="1" customFormat="1">
      <c r="G24" s="4"/>
      <c r="H24" s="5"/>
      <c r="J24" s="5"/>
      <c r="K24" s="5"/>
      <c r="O24" s="6"/>
      <c r="S24" s="5"/>
      <c r="U24" s="5"/>
      <c r="V24" s="5"/>
      <c r="W24" s="5"/>
      <c r="X24" s="5"/>
      <c r="Y24" s="5"/>
    </row>
  </sheetData>
  <mergeCells count="20">
    <mergeCell ref="G22:O22"/>
    <mergeCell ref="R22:Z22"/>
    <mergeCell ref="F4:F5"/>
    <mergeCell ref="G4:G5"/>
    <mergeCell ref="Q4:Q5"/>
    <mergeCell ref="R4:R5"/>
    <mergeCell ref="U18:Y18"/>
    <mergeCell ref="G20:O20"/>
    <mergeCell ref="R20:Z20"/>
    <mergeCell ref="G21:O21"/>
    <mergeCell ref="R21:Z21"/>
    <mergeCell ref="F3:H3"/>
    <mergeCell ref="Q3:S3"/>
    <mergeCell ref="B5:C5"/>
    <mergeCell ref="F18:G18"/>
    <mergeCell ref="J18:N18"/>
    <mergeCell ref="Q18:R18"/>
    <mergeCell ref="B3:D4"/>
    <mergeCell ref="B6:C9"/>
    <mergeCell ref="B10:C13"/>
  </mergeCells>
  <printOptions horizontalCentered="1" verticalCentered="1"/>
  <pageMargins left="0.511811023622047" right="0.511811023622047" top="0.78740157480314998" bottom="0.78740157480314998" header="0.31496062992126" footer="0.31496062992126"/>
  <pageSetup paperSize="9" scale="31"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3:M90"/>
  <sheetViews>
    <sheetView showGridLines="0" topLeftCell="A79" zoomScale="85" zoomScaleNormal="85" workbookViewId="0">
      <selection activeCell="E86" sqref="E86:I86"/>
    </sheetView>
  </sheetViews>
  <sheetFormatPr defaultColWidth="9.140625" defaultRowHeight="18"/>
  <cols>
    <col min="1" max="1" width="9.140625" style="202"/>
    <col min="2" max="2" width="9.140625" style="202" customWidth="1"/>
    <col min="3" max="3" width="9.140625" style="202"/>
    <col min="4" max="4" width="34.28515625" style="217" customWidth="1"/>
    <col min="5" max="5" width="17.42578125" style="218" customWidth="1"/>
    <col min="6" max="7" width="16" style="218" customWidth="1"/>
    <col min="8" max="8" width="74.28515625" style="218" customWidth="1"/>
    <col min="9" max="9" width="26.7109375" style="218" customWidth="1"/>
    <col min="10" max="10" width="14.85546875" style="218" bestFit="1" customWidth="1"/>
    <col min="11" max="11" width="13.7109375" style="202" bestFit="1" customWidth="1"/>
    <col min="12" max="16384" width="9.140625" style="202"/>
  </cols>
  <sheetData>
    <row r="3" spans="4:11" ht="22.5" customHeight="1">
      <c r="D3" s="865" t="s">
        <v>1142</v>
      </c>
      <c r="E3" s="861"/>
      <c r="F3" s="861"/>
      <c r="G3" s="861"/>
      <c r="H3" s="861"/>
      <c r="I3" s="861"/>
      <c r="J3" s="837" t="s">
        <v>1308</v>
      </c>
      <c r="K3" s="837" t="s">
        <v>1309</v>
      </c>
    </row>
    <row r="4" spans="4:11" ht="21" customHeight="1">
      <c r="D4" s="847" t="s">
        <v>716</v>
      </c>
      <c r="E4" s="848" t="s">
        <v>717</v>
      </c>
      <c r="F4" s="849"/>
      <c r="G4" s="850" t="s">
        <v>718</v>
      </c>
      <c r="H4" s="851"/>
      <c r="I4" s="599" t="s">
        <v>719</v>
      </c>
      <c r="J4" s="837"/>
      <c r="K4" s="837"/>
    </row>
    <row r="5" spans="4:11" ht="12.75" customHeight="1">
      <c r="D5" s="847"/>
      <c r="E5" s="856" t="s">
        <v>720</v>
      </c>
      <c r="F5" s="856" t="s">
        <v>721</v>
      </c>
      <c r="G5" s="852"/>
      <c r="H5" s="853"/>
      <c r="I5" s="858" t="s">
        <v>722</v>
      </c>
      <c r="J5" s="837" t="s">
        <v>724</v>
      </c>
      <c r="K5" s="837" t="s">
        <v>724</v>
      </c>
    </row>
    <row r="6" spans="4:11" ht="20.25" customHeight="1">
      <c r="D6" s="219" t="s">
        <v>725</v>
      </c>
      <c r="E6" s="857"/>
      <c r="F6" s="857"/>
      <c r="G6" s="854"/>
      <c r="H6" s="855"/>
      <c r="I6" s="859"/>
      <c r="J6" s="837"/>
      <c r="K6" s="837"/>
    </row>
    <row r="7" spans="4:11" ht="57.75" customHeight="1">
      <c r="D7" s="220" t="s">
        <v>1143</v>
      </c>
      <c r="E7" s="220">
        <v>2</v>
      </c>
      <c r="F7" s="220">
        <v>2</v>
      </c>
      <c r="G7" s="838" t="s">
        <v>1307</v>
      </c>
      <c r="H7" s="839"/>
      <c r="I7" s="399">
        <f t="shared" ref="I7:I12" si="0">E7+F7</f>
        <v>4</v>
      </c>
      <c r="J7" s="400"/>
      <c r="K7" s="400"/>
    </row>
    <row r="8" spans="4:11">
      <c r="D8" s="220" t="s">
        <v>1144</v>
      </c>
      <c r="E8" s="220">
        <v>2</v>
      </c>
      <c r="F8" s="220">
        <v>2</v>
      </c>
      <c r="G8" s="838" t="s">
        <v>1145</v>
      </c>
      <c r="H8" s="839"/>
      <c r="I8" s="399">
        <f t="shared" si="0"/>
        <v>4</v>
      </c>
      <c r="J8" s="400"/>
      <c r="K8" s="400"/>
    </row>
    <row r="9" spans="4:11" ht="57.75" customHeight="1">
      <c r="D9" s="220" t="s">
        <v>1146</v>
      </c>
      <c r="E9" s="220">
        <v>2</v>
      </c>
      <c r="F9" s="220">
        <v>2</v>
      </c>
      <c r="G9" s="838" t="s">
        <v>1148</v>
      </c>
      <c r="H9" s="839" t="s">
        <v>727</v>
      </c>
      <c r="I9" s="399">
        <f t="shared" si="0"/>
        <v>4</v>
      </c>
      <c r="J9" s="400"/>
      <c r="K9" s="400"/>
    </row>
    <row r="10" spans="4:11" ht="57.75" customHeight="1">
      <c r="D10" s="220" t="s">
        <v>1147</v>
      </c>
      <c r="E10" s="220">
        <v>2</v>
      </c>
      <c r="F10" s="220">
        <v>1</v>
      </c>
      <c r="G10" s="838" t="s">
        <v>1149</v>
      </c>
      <c r="H10" s="839"/>
      <c r="I10" s="399">
        <f t="shared" si="0"/>
        <v>3</v>
      </c>
      <c r="J10" s="400"/>
      <c r="K10" s="400"/>
    </row>
    <row r="11" spans="4:11">
      <c r="D11" s="220" t="s">
        <v>726</v>
      </c>
      <c r="E11" s="220">
        <v>2</v>
      </c>
      <c r="F11" s="220">
        <v>2</v>
      </c>
      <c r="G11" s="838" t="s">
        <v>1150</v>
      </c>
      <c r="H11" s="839"/>
      <c r="I11" s="399">
        <f t="shared" si="0"/>
        <v>4</v>
      </c>
      <c r="J11" s="400"/>
      <c r="K11" s="400"/>
    </row>
    <row r="12" spans="4:11">
      <c r="D12" s="220" t="s">
        <v>728</v>
      </c>
      <c r="E12" s="220">
        <v>2</v>
      </c>
      <c r="F12" s="220">
        <v>1</v>
      </c>
      <c r="G12" s="838" t="s">
        <v>1151</v>
      </c>
      <c r="H12" s="839"/>
      <c r="I12" s="399">
        <f t="shared" si="0"/>
        <v>3</v>
      </c>
      <c r="J12" s="400"/>
      <c r="K12" s="400"/>
    </row>
    <row r="13" spans="4:11" ht="30" customHeight="1">
      <c r="D13" s="841" t="s">
        <v>729</v>
      </c>
      <c r="E13" s="841"/>
      <c r="F13" s="841"/>
      <c r="G13" s="841"/>
      <c r="H13" s="841"/>
      <c r="I13" s="225">
        <f>+SUM(K7:K12)/12</f>
        <v>0</v>
      </c>
      <c r="J13" s="202"/>
    </row>
    <row r="14" spans="4:11" ht="17.25" customHeight="1">
      <c r="D14" s="202"/>
      <c r="E14" s="202"/>
      <c r="F14" s="202"/>
      <c r="G14" s="202"/>
      <c r="H14" s="202"/>
      <c r="I14" s="202"/>
      <c r="J14" s="202"/>
    </row>
    <row r="15" spans="4:11" ht="26.25" customHeight="1">
      <c r="D15" s="865" t="s">
        <v>1152</v>
      </c>
      <c r="E15" s="861"/>
      <c r="F15" s="861"/>
      <c r="G15" s="861"/>
      <c r="H15" s="861"/>
      <c r="I15" s="861"/>
      <c r="J15" s="837" t="s">
        <v>1308</v>
      </c>
      <c r="K15" s="837" t="s">
        <v>1309</v>
      </c>
    </row>
    <row r="16" spans="4:11" ht="25.5" customHeight="1">
      <c r="D16" s="847" t="s">
        <v>716</v>
      </c>
      <c r="E16" s="848" t="s">
        <v>717</v>
      </c>
      <c r="F16" s="849"/>
      <c r="G16" s="850" t="s">
        <v>718</v>
      </c>
      <c r="H16" s="851"/>
      <c r="I16" s="599" t="s">
        <v>719</v>
      </c>
      <c r="J16" s="837"/>
      <c r="K16" s="837"/>
    </row>
    <row r="17" spans="4:11" ht="27.75" customHeight="1">
      <c r="D17" s="847"/>
      <c r="E17" s="856" t="s">
        <v>720</v>
      </c>
      <c r="F17" s="856" t="s">
        <v>721</v>
      </c>
      <c r="G17" s="852"/>
      <c r="H17" s="853"/>
      <c r="I17" s="858" t="s">
        <v>722</v>
      </c>
      <c r="J17" s="837" t="s">
        <v>724</v>
      </c>
      <c r="K17" s="837" t="s">
        <v>724</v>
      </c>
    </row>
    <row r="18" spans="4:11" ht="24" customHeight="1">
      <c r="D18" s="603" t="s">
        <v>1267</v>
      </c>
      <c r="E18" s="857"/>
      <c r="F18" s="857"/>
      <c r="G18" s="854"/>
      <c r="H18" s="855"/>
      <c r="I18" s="859"/>
      <c r="J18" s="837"/>
      <c r="K18" s="837"/>
    </row>
    <row r="19" spans="4:11" ht="57.75" customHeight="1">
      <c r="D19" s="220" t="s">
        <v>1143</v>
      </c>
      <c r="E19" s="220">
        <v>2</v>
      </c>
      <c r="F19" s="220">
        <v>2</v>
      </c>
      <c r="G19" s="838" t="s">
        <v>1301</v>
      </c>
      <c r="H19" s="839" t="s">
        <v>1158</v>
      </c>
      <c r="I19" s="399">
        <f t="shared" ref="I19:I25" si="1">E19+F19</f>
        <v>4</v>
      </c>
      <c r="J19" s="400"/>
      <c r="K19" s="400"/>
    </row>
    <row r="20" spans="4:11" ht="34.5" customHeight="1">
      <c r="D20" s="220" t="s">
        <v>1153</v>
      </c>
      <c r="E20" s="220">
        <v>2</v>
      </c>
      <c r="F20" s="220">
        <v>2</v>
      </c>
      <c r="G20" s="838" t="s">
        <v>1302</v>
      </c>
      <c r="H20" s="839" t="s">
        <v>1159</v>
      </c>
      <c r="I20" s="399">
        <f t="shared" si="1"/>
        <v>4</v>
      </c>
      <c r="J20" s="400"/>
      <c r="K20" s="400"/>
    </row>
    <row r="21" spans="4:11" ht="36" customHeight="1">
      <c r="D21" s="220" t="s">
        <v>1154</v>
      </c>
      <c r="E21" s="220">
        <v>2</v>
      </c>
      <c r="F21" s="220">
        <v>2</v>
      </c>
      <c r="G21" s="838" t="s">
        <v>1160</v>
      </c>
      <c r="H21" s="839" t="s">
        <v>1160</v>
      </c>
      <c r="I21" s="399">
        <f t="shared" si="1"/>
        <v>4</v>
      </c>
      <c r="J21" s="400"/>
      <c r="K21" s="400"/>
    </row>
    <row r="22" spans="4:11" ht="36.75" customHeight="1">
      <c r="D22" s="220" t="s">
        <v>1155</v>
      </c>
      <c r="E22" s="220">
        <v>2</v>
      </c>
      <c r="F22" s="220">
        <v>2</v>
      </c>
      <c r="G22" s="838" t="s">
        <v>1161</v>
      </c>
      <c r="H22" s="839" t="s">
        <v>1161</v>
      </c>
      <c r="I22" s="399">
        <f t="shared" si="1"/>
        <v>4</v>
      </c>
      <c r="J22" s="400"/>
      <c r="K22" s="400"/>
    </row>
    <row r="23" spans="4:11">
      <c r="D23" s="220" t="s">
        <v>1156</v>
      </c>
      <c r="E23" s="220">
        <v>2</v>
      </c>
      <c r="F23" s="220">
        <v>1</v>
      </c>
      <c r="G23" s="838" t="s">
        <v>1162</v>
      </c>
      <c r="H23" s="839" t="s">
        <v>1162</v>
      </c>
      <c r="I23" s="399">
        <f t="shared" si="1"/>
        <v>3</v>
      </c>
      <c r="J23" s="400"/>
      <c r="K23" s="400"/>
    </row>
    <row r="24" spans="4:11">
      <c r="D24" s="220" t="s">
        <v>1147</v>
      </c>
      <c r="E24" s="220">
        <v>2</v>
      </c>
      <c r="F24" s="220">
        <v>1</v>
      </c>
      <c r="G24" s="838" t="s">
        <v>1163</v>
      </c>
      <c r="H24" s="839" t="s">
        <v>1163</v>
      </c>
      <c r="I24" s="399">
        <f t="shared" si="1"/>
        <v>3</v>
      </c>
      <c r="J24" s="400"/>
      <c r="K24" s="400"/>
    </row>
    <row r="25" spans="4:11">
      <c r="D25" s="220" t="s">
        <v>1157</v>
      </c>
      <c r="E25" s="220">
        <v>2</v>
      </c>
      <c r="F25" s="220">
        <v>1</v>
      </c>
      <c r="G25" s="838" t="s">
        <v>1164</v>
      </c>
      <c r="H25" s="839" t="s">
        <v>1164</v>
      </c>
      <c r="I25" s="399">
        <f t="shared" si="1"/>
        <v>3</v>
      </c>
      <c r="J25" s="400"/>
      <c r="K25" s="400"/>
    </row>
    <row r="26" spans="4:11">
      <c r="D26" s="841" t="s">
        <v>729</v>
      </c>
      <c r="E26" s="841"/>
      <c r="F26" s="841"/>
      <c r="G26" s="841"/>
      <c r="H26" s="841"/>
      <c r="I26" s="225">
        <f>+SUM(K19:K25)/12</f>
        <v>0</v>
      </c>
      <c r="J26" s="202"/>
    </row>
    <row r="27" spans="4:11" ht="12.75">
      <c r="D27" s="202"/>
      <c r="E27" s="202"/>
      <c r="F27" s="202"/>
      <c r="G27" s="202"/>
      <c r="H27" s="202"/>
      <c r="I27" s="202"/>
      <c r="J27" s="202"/>
    </row>
    <row r="28" spans="4:11" ht="18" customHeight="1">
      <c r="D28" s="865" t="s">
        <v>1165</v>
      </c>
      <c r="E28" s="861"/>
      <c r="F28" s="861"/>
      <c r="G28" s="861"/>
      <c r="H28" s="861"/>
      <c r="I28" s="861"/>
      <c r="J28" s="837" t="s">
        <v>1308</v>
      </c>
      <c r="K28" s="837" t="s">
        <v>1309</v>
      </c>
    </row>
    <row r="29" spans="4:11">
      <c r="D29" s="847" t="s">
        <v>716</v>
      </c>
      <c r="E29" s="848" t="s">
        <v>717</v>
      </c>
      <c r="F29" s="849"/>
      <c r="G29" s="850" t="s">
        <v>718</v>
      </c>
      <c r="H29" s="851"/>
      <c r="I29" s="599" t="s">
        <v>719</v>
      </c>
      <c r="J29" s="837"/>
      <c r="K29" s="837"/>
    </row>
    <row r="30" spans="4:11" ht="12.75" customHeight="1">
      <c r="D30" s="847"/>
      <c r="E30" s="856" t="s">
        <v>720</v>
      </c>
      <c r="F30" s="856" t="s">
        <v>721</v>
      </c>
      <c r="G30" s="852"/>
      <c r="H30" s="853"/>
      <c r="I30" s="858" t="s">
        <v>722</v>
      </c>
      <c r="J30" s="837" t="s">
        <v>724</v>
      </c>
      <c r="K30" s="837" t="s">
        <v>724</v>
      </c>
    </row>
    <row r="31" spans="4:11">
      <c r="D31" s="219" t="s">
        <v>725</v>
      </c>
      <c r="E31" s="857"/>
      <c r="F31" s="857"/>
      <c r="G31" s="854"/>
      <c r="H31" s="855"/>
      <c r="I31" s="859"/>
      <c r="J31" s="837"/>
      <c r="K31" s="837"/>
    </row>
    <row r="32" spans="4:11" ht="57.75" customHeight="1">
      <c r="D32" s="220" t="s">
        <v>1143</v>
      </c>
      <c r="E32" s="220">
        <v>2</v>
      </c>
      <c r="F32" s="220">
        <v>2</v>
      </c>
      <c r="G32" s="838" t="s">
        <v>1287</v>
      </c>
      <c r="H32" s="839" t="s">
        <v>1166</v>
      </c>
      <c r="I32" s="399">
        <f t="shared" ref="I32:I38" si="2">E32+F32</f>
        <v>4</v>
      </c>
      <c r="J32" s="400"/>
      <c r="K32" s="400"/>
    </row>
    <row r="33" spans="4:12" ht="18.75" customHeight="1">
      <c r="D33" s="220" t="s">
        <v>1144</v>
      </c>
      <c r="E33" s="220">
        <v>2</v>
      </c>
      <c r="F33" s="220">
        <v>2</v>
      </c>
      <c r="G33" s="838" t="s">
        <v>1167</v>
      </c>
      <c r="H33" s="839" t="s">
        <v>1167</v>
      </c>
      <c r="I33" s="399">
        <f t="shared" si="2"/>
        <v>4</v>
      </c>
      <c r="J33" s="400"/>
      <c r="K33" s="400"/>
    </row>
    <row r="34" spans="4:12" ht="57.75" customHeight="1">
      <c r="D34" s="220" t="s">
        <v>1146</v>
      </c>
      <c r="E34" s="220">
        <v>2</v>
      </c>
      <c r="F34" s="220">
        <v>2</v>
      </c>
      <c r="G34" s="838" t="s">
        <v>1300</v>
      </c>
      <c r="H34" s="839" t="s">
        <v>1168</v>
      </c>
      <c r="I34" s="399">
        <f t="shared" si="2"/>
        <v>4</v>
      </c>
      <c r="J34" s="400"/>
      <c r="K34" s="400"/>
    </row>
    <row r="35" spans="4:12" ht="57.75" customHeight="1">
      <c r="D35" s="220" t="s">
        <v>1147</v>
      </c>
      <c r="E35" s="220">
        <v>2</v>
      </c>
      <c r="F35" s="220">
        <v>1</v>
      </c>
      <c r="G35" s="838" t="s">
        <v>1149</v>
      </c>
      <c r="H35" s="839" t="s">
        <v>1149</v>
      </c>
      <c r="I35" s="399">
        <f t="shared" si="2"/>
        <v>3</v>
      </c>
      <c r="J35" s="400"/>
      <c r="K35" s="400"/>
    </row>
    <row r="36" spans="4:12" ht="54" customHeight="1">
      <c r="D36" s="220" t="s">
        <v>1278</v>
      </c>
      <c r="E36" s="220">
        <v>2</v>
      </c>
      <c r="F36" s="220">
        <v>2</v>
      </c>
      <c r="G36" s="838" t="s">
        <v>1288</v>
      </c>
      <c r="H36" s="839" t="s">
        <v>1150</v>
      </c>
      <c r="I36" s="399">
        <f t="shared" si="2"/>
        <v>4</v>
      </c>
      <c r="J36" s="400"/>
      <c r="K36" s="400"/>
    </row>
    <row r="37" spans="4:12" ht="38.25" customHeight="1">
      <c r="D37" s="604" t="s">
        <v>1260</v>
      </c>
      <c r="E37" s="220">
        <v>1</v>
      </c>
      <c r="F37" s="220">
        <v>1</v>
      </c>
      <c r="G37" s="840" t="s">
        <v>1268</v>
      </c>
      <c r="H37" s="839"/>
      <c r="I37" s="399">
        <f t="shared" si="2"/>
        <v>2</v>
      </c>
      <c r="J37" s="400"/>
      <c r="K37" s="400"/>
    </row>
    <row r="38" spans="4:12" ht="18.75" customHeight="1">
      <c r="D38" s="220" t="s">
        <v>728</v>
      </c>
      <c r="E38" s="220">
        <v>2</v>
      </c>
      <c r="F38" s="220">
        <v>1</v>
      </c>
      <c r="G38" s="838" t="s">
        <v>1151</v>
      </c>
      <c r="H38" s="839" t="s">
        <v>1151</v>
      </c>
      <c r="I38" s="399">
        <f t="shared" si="2"/>
        <v>3</v>
      </c>
      <c r="J38" s="400"/>
      <c r="K38" s="400"/>
    </row>
    <row r="39" spans="4:12" ht="24.75" customHeight="1">
      <c r="D39" s="841" t="s">
        <v>729</v>
      </c>
      <c r="E39" s="841"/>
      <c r="F39" s="841"/>
      <c r="G39" s="841"/>
      <c r="H39" s="841"/>
      <c r="I39" s="225">
        <f>+SUM(K32:K38)/12</f>
        <v>0</v>
      </c>
      <c r="J39" s="401"/>
      <c r="K39" s="401"/>
      <c r="L39" s="401"/>
    </row>
    <row r="40" spans="4:12" ht="17.25">
      <c r="D40" s="202"/>
      <c r="E40" s="202"/>
      <c r="F40" s="202"/>
      <c r="G40" s="202"/>
      <c r="H40" s="202"/>
      <c r="I40" s="202"/>
      <c r="J40" s="401"/>
      <c r="K40" s="401"/>
      <c r="L40" s="401"/>
    </row>
    <row r="41" spans="4:12" ht="18" customHeight="1">
      <c r="D41" s="846" t="s">
        <v>1277</v>
      </c>
      <c r="E41" s="846"/>
      <c r="F41" s="846"/>
      <c r="G41" s="846"/>
      <c r="H41" s="846"/>
      <c r="I41" s="846"/>
      <c r="J41" s="837" t="s">
        <v>1308</v>
      </c>
      <c r="K41" s="837" t="s">
        <v>1309</v>
      </c>
    </row>
    <row r="42" spans="4:12" ht="18" customHeight="1">
      <c r="D42" s="844" t="s">
        <v>716</v>
      </c>
      <c r="E42" s="1214" t="s">
        <v>717</v>
      </c>
      <c r="F42" s="1215"/>
      <c r="G42" s="845" t="s">
        <v>718</v>
      </c>
      <c r="H42" s="845"/>
      <c r="I42" s="611" t="s">
        <v>719</v>
      </c>
      <c r="J42" s="837"/>
      <c r="K42" s="837"/>
    </row>
    <row r="43" spans="4:12" ht="12.75" customHeight="1">
      <c r="D43" s="844"/>
      <c r="E43" s="1216" t="s">
        <v>720</v>
      </c>
      <c r="F43" s="1216" t="s">
        <v>721</v>
      </c>
      <c r="G43" s="845"/>
      <c r="H43" s="845"/>
      <c r="I43" s="837" t="s">
        <v>722</v>
      </c>
      <c r="J43" s="837" t="s">
        <v>724</v>
      </c>
      <c r="K43" s="837" t="s">
        <v>724</v>
      </c>
    </row>
    <row r="44" spans="4:12" ht="20.25" customHeight="1">
      <c r="D44" s="611" t="s">
        <v>1267</v>
      </c>
      <c r="E44" s="1217"/>
      <c r="F44" s="1217"/>
      <c r="G44" s="845"/>
      <c r="H44" s="845"/>
      <c r="I44" s="837"/>
      <c r="J44" s="837"/>
      <c r="K44" s="837"/>
    </row>
    <row r="45" spans="4:12" ht="76.5" customHeight="1">
      <c r="D45" s="608" t="s">
        <v>1143</v>
      </c>
      <c r="E45" s="608">
        <v>2</v>
      </c>
      <c r="F45" s="608">
        <v>2</v>
      </c>
      <c r="G45" s="842" t="s">
        <v>1285</v>
      </c>
      <c r="H45" s="843" t="s">
        <v>1166</v>
      </c>
      <c r="I45" s="609">
        <f>E45+F45</f>
        <v>4</v>
      </c>
      <c r="J45" s="610"/>
      <c r="K45" s="610"/>
    </row>
    <row r="46" spans="4:12" ht="33.75" customHeight="1">
      <c r="D46" s="220" t="s">
        <v>1144</v>
      </c>
      <c r="E46" s="220">
        <v>2</v>
      </c>
      <c r="F46" s="220">
        <v>2</v>
      </c>
      <c r="G46" s="838" t="s">
        <v>1283</v>
      </c>
      <c r="H46" s="839" t="s">
        <v>1167</v>
      </c>
      <c r="I46" s="399">
        <f>E46+F46</f>
        <v>4</v>
      </c>
      <c r="J46" s="400"/>
      <c r="K46" s="400"/>
    </row>
    <row r="47" spans="4:12" ht="39" customHeight="1">
      <c r="D47" s="220" t="s">
        <v>1146</v>
      </c>
      <c r="E47" s="220">
        <v>2</v>
      </c>
      <c r="F47" s="220">
        <v>2</v>
      </c>
      <c r="G47" s="838" t="s">
        <v>1299</v>
      </c>
      <c r="H47" s="839" t="s">
        <v>1168</v>
      </c>
      <c r="I47" s="399">
        <f>E47+F47</f>
        <v>4</v>
      </c>
      <c r="J47" s="400"/>
      <c r="K47" s="400"/>
    </row>
    <row r="48" spans="4:12" ht="79.5" customHeight="1">
      <c r="D48" s="220" t="s">
        <v>1147</v>
      </c>
      <c r="E48" s="220">
        <v>2</v>
      </c>
      <c r="F48" s="220">
        <v>1</v>
      </c>
      <c r="G48" s="838" t="s">
        <v>1282</v>
      </c>
      <c r="H48" s="839" t="s">
        <v>1149</v>
      </c>
      <c r="I48" s="399">
        <v>3</v>
      </c>
      <c r="J48" s="400"/>
      <c r="K48" s="400"/>
    </row>
    <row r="49" spans="1:13" ht="54.75" customHeight="1">
      <c r="D49" s="220" t="s">
        <v>1278</v>
      </c>
      <c r="E49" s="220">
        <v>2</v>
      </c>
      <c r="F49" s="220">
        <v>2</v>
      </c>
      <c r="G49" s="838" t="s">
        <v>1286</v>
      </c>
      <c r="H49" s="839" t="s">
        <v>1150</v>
      </c>
      <c r="I49" s="399">
        <f>E49+F49</f>
        <v>4</v>
      </c>
      <c r="J49" s="400"/>
      <c r="K49" s="400"/>
    </row>
    <row r="50" spans="1:13" ht="40.5" customHeight="1">
      <c r="D50" s="604" t="s">
        <v>1279</v>
      </c>
      <c r="E50" s="220">
        <v>1</v>
      </c>
      <c r="F50" s="220">
        <v>1</v>
      </c>
      <c r="G50" s="840" t="s">
        <v>1280</v>
      </c>
      <c r="H50" s="839"/>
      <c r="I50" s="399">
        <f>E50+F50</f>
        <v>2</v>
      </c>
      <c r="J50" s="400"/>
      <c r="K50" s="400"/>
    </row>
    <row r="51" spans="1:13" ht="44.25" customHeight="1">
      <c r="D51" s="220" t="s">
        <v>728</v>
      </c>
      <c r="E51" s="220">
        <v>2</v>
      </c>
      <c r="F51" s="220">
        <v>1</v>
      </c>
      <c r="G51" s="838" t="s">
        <v>1281</v>
      </c>
      <c r="H51" s="839" t="s">
        <v>1151</v>
      </c>
      <c r="I51" s="399">
        <f>E51+F51</f>
        <v>3</v>
      </c>
      <c r="J51" s="400"/>
      <c r="K51" s="400"/>
    </row>
    <row r="52" spans="1:13" ht="30" customHeight="1">
      <c r="D52" s="841" t="s">
        <v>729</v>
      </c>
      <c r="E52" s="841"/>
      <c r="F52" s="841"/>
      <c r="G52" s="841"/>
      <c r="H52" s="841"/>
      <c r="I52" s="225">
        <f>+SUM(K45:K51)/12</f>
        <v>0</v>
      </c>
      <c r="J52" s="401"/>
    </row>
    <row r="53" spans="1:13" ht="21" customHeight="1">
      <c r="D53" s="202"/>
      <c r="E53" s="202"/>
      <c r="F53" s="202"/>
      <c r="G53" s="202"/>
      <c r="H53" s="202"/>
      <c r="I53" s="202"/>
      <c r="J53" s="202"/>
    </row>
    <row r="54" spans="1:13" ht="48.75" customHeight="1">
      <c r="D54" s="860" t="s">
        <v>1254</v>
      </c>
      <c r="E54" s="861"/>
      <c r="F54" s="861"/>
      <c r="G54" s="861"/>
      <c r="H54" s="861"/>
      <c r="I54" s="861"/>
      <c r="J54" s="837" t="s">
        <v>1308</v>
      </c>
      <c r="K54" s="837" t="s">
        <v>1309</v>
      </c>
    </row>
    <row r="55" spans="1:13">
      <c r="D55" s="847" t="s">
        <v>716</v>
      </c>
      <c r="E55" s="848" t="s">
        <v>717</v>
      </c>
      <c r="F55" s="849"/>
      <c r="G55" s="850" t="s">
        <v>718</v>
      </c>
      <c r="H55" s="851"/>
      <c r="I55" s="599" t="s">
        <v>719</v>
      </c>
      <c r="J55" s="837"/>
      <c r="K55" s="837"/>
      <c r="L55" s="401"/>
      <c r="M55" s="401"/>
    </row>
    <row r="56" spans="1:13" ht="17.25" customHeight="1">
      <c r="D56" s="847"/>
      <c r="E56" s="856" t="s">
        <v>720</v>
      </c>
      <c r="F56" s="856" t="s">
        <v>721</v>
      </c>
      <c r="G56" s="852"/>
      <c r="H56" s="853"/>
      <c r="I56" s="858" t="s">
        <v>722</v>
      </c>
      <c r="J56" s="837" t="s">
        <v>724</v>
      </c>
      <c r="K56" s="837" t="s">
        <v>724</v>
      </c>
      <c r="L56" s="401"/>
      <c r="M56" s="401"/>
    </row>
    <row r="57" spans="1:13">
      <c r="D57" s="603" t="s">
        <v>725</v>
      </c>
      <c r="E57" s="857"/>
      <c r="F57" s="857"/>
      <c r="G57" s="854"/>
      <c r="H57" s="855"/>
      <c r="I57" s="859"/>
      <c r="J57" s="837"/>
      <c r="K57" s="837"/>
    </row>
    <row r="58" spans="1:13" ht="40.5" customHeight="1">
      <c r="D58" s="608" t="s">
        <v>1155</v>
      </c>
      <c r="E58" s="608">
        <v>2</v>
      </c>
      <c r="F58" s="608">
        <v>2</v>
      </c>
      <c r="G58" s="842" t="s">
        <v>1298</v>
      </c>
      <c r="H58" s="843" t="s">
        <v>1169</v>
      </c>
      <c r="I58" s="609">
        <f>E58+F58</f>
        <v>4</v>
      </c>
      <c r="J58" s="400"/>
      <c r="K58" s="400"/>
    </row>
    <row r="59" spans="1:13" ht="49.5" customHeight="1">
      <c r="D59" s="608" t="s">
        <v>1274</v>
      </c>
      <c r="E59" s="608">
        <v>2</v>
      </c>
      <c r="F59" s="608">
        <v>2</v>
      </c>
      <c r="G59" s="842" t="s">
        <v>1294</v>
      </c>
      <c r="H59" s="843"/>
      <c r="I59" s="609">
        <v>4</v>
      </c>
      <c r="J59" s="400"/>
      <c r="K59" s="400"/>
    </row>
    <row r="60" spans="1:13" ht="37.5" customHeight="1">
      <c r="D60" s="220" t="s">
        <v>726</v>
      </c>
      <c r="E60" s="220">
        <v>2</v>
      </c>
      <c r="F60" s="220">
        <v>2</v>
      </c>
      <c r="G60" s="838" t="s">
        <v>1284</v>
      </c>
      <c r="H60" s="839" t="s">
        <v>1170</v>
      </c>
      <c r="I60" s="399">
        <f>E60+F60</f>
        <v>4</v>
      </c>
      <c r="J60" s="400"/>
      <c r="K60" s="400"/>
    </row>
    <row r="61" spans="1:13" ht="37.5" customHeight="1">
      <c r="A61" s="202" t="s">
        <v>1273</v>
      </c>
      <c r="D61" s="604" t="s">
        <v>1260</v>
      </c>
      <c r="E61" s="220">
        <v>1</v>
      </c>
      <c r="F61" s="220">
        <v>1</v>
      </c>
      <c r="G61" s="840" t="s">
        <v>1268</v>
      </c>
      <c r="H61" s="839"/>
      <c r="I61" s="399">
        <f>E61+F61</f>
        <v>2</v>
      </c>
      <c r="J61" s="400"/>
      <c r="K61" s="400"/>
    </row>
    <row r="62" spans="1:13" ht="37.5" customHeight="1">
      <c r="D62" s="604" t="s">
        <v>1261</v>
      </c>
      <c r="E62" s="220">
        <v>2</v>
      </c>
      <c r="F62" s="220">
        <v>2</v>
      </c>
      <c r="G62" s="840" t="s">
        <v>1297</v>
      </c>
      <c r="H62" s="839"/>
      <c r="I62" s="399">
        <v>4</v>
      </c>
      <c r="J62" s="400"/>
      <c r="K62" s="400"/>
    </row>
    <row r="63" spans="1:13" ht="41.25" customHeight="1">
      <c r="D63" s="604" t="s">
        <v>1275</v>
      </c>
      <c r="E63" s="220">
        <v>1</v>
      </c>
      <c r="F63" s="220">
        <v>1</v>
      </c>
      <c r="G63" s="840" t="s">
        <v>1276</v>
      </c>
      <c r="H63" s="839"/>
      <c r="I63" s="399">
        <v>2</v>
      </c>
      <c r="J63" s="400"/>
      <c r="K63" s="400"/>
    </row>
    <row r="64" spans="1:13" ht="38.25" customHeight="1">
      <c r="D64" s="604" t="s">
        <v>1269</v>
      </c>
      <c r="E64" s="220">
        <v>1</v>
      </c>
      <c r="F64" s="220">
        <v>1</v>
      </c>
      <c r="G64" s="840" t="s">
        <v>1270</v>
      </c>
      <c r="H64" s="839"/>
      <c r="I64" s="399">
        <v>2</v>
      </c>
      <c r="J64" s="400"/>
      <c r="K64" s="400"/>
    </row>
    <row r="65" spans="4:11" ht="106.5" customHeight="1">
      <c r="D65" s="220" t="s">
        <v>1147</v>
      </c>
      <c r="E65" s="220">
        <v>2</v>
      </c>
      <c r="F65" s="220">
        <v>1</v>
      </c>
      <c r="G65" s="838" t="s">
        <v>1295</v>
      </c>
      <c r="H65" s="839" t="s">
        <v>1171</v>
      </c>
      <c r="I65" s="399">
        <f>E65+F65</f>
        <v>3</v>
      </c>
      <c r="J65" s="400"/>
      <c r="K65" s="400"/>
    </row>
    <row r="66" spans="4:11" ht="37.5" customHeight="1">
      <c r="D66" s="605" t="s">
        <v>728</v>
      </c>
      <c r="E66" s="605">
        <v>2</v>
      </c>
      <c r="F66" s="605">
        <v>1</v>
      </c>
      <c r="G66" s="863" t="s">
        <v>1296</v>
      </c>
      <c r="H66" s="864" t="s">
        <v>1164</v>
      </c>
      <c r="I66" s="606">
        <f>E66+F66</f>
        <v>3</v>
      </c>
      <c r="J66" s="400"/>
      <c r="K66" s="400"/>
    </row>
    <row r="67" spans="4:11" ht="23.25" customHeight="1">
      <c r="D67" s="846" t="s">
        <v>729</v>
      </c>
      <c r="E67" s="846"/>
      <c r="F67" s="846"/>
      <c r="G67" s="846"/>
      <c r="H67" s="846"/>
      <c r="I67" s="607">
        <f>+SUM(K58:K66)/12</f>
        <v>0</v>
      </c>
      <c r="J67" s="401"/>
    </row>
    <row r="68" spans="4:11" ht="21" customHeight="1">
      <c r="D68" s="221"/>
      <c r="E68" s="221"/>
      <c r="F68" s="221"/>
      <c r="G68" s="221"/>
      <c r="H68" s="221"/>
      <c r="I68" s="226"/>
      <c r="J68" s="401"/>
    </row>
    <row r="69" spans="4:11" ht="57.75" customHeight="1">
      <c r="D69" s="862" t="s">
        <v>1266</v>
      </c>
      <c r="E69" s="846"/>
      <c r="F69" s="846"/>
      <c r="G69" s="846"/>
      <c r="H69" s="846"/>
      <c r="I69" s="846"/>
      <c r="J69" s="837" t="s">
        <v>1308</v>
      </c>
      <c r="K69" s="837" t="s">
        <v>1309</v>
      </c>
    </row>
    <row r="70" spans="4:11">
      <c r="D70" s="844" t="s">
        <v>716</v>
      </c>
      <c r="E70" s="1214" t="s">
        <v>717</v>
      </c>
      <c r="F70" s="1215"/>
      <c r="G70" s="845" t="s">
        <v>718</v>
      </c>
      <c r="H70" s="845"/>
      <c r="I70" s="611" t="s">
        <v>719</v>
      </c>
      <c r="J70" s="837"/>
      <c r="K70" s="837"/>
    </row>
    <row r="71" spans="4:11" ht="12.75" customHeight="1">
      <c r="D71" s="844"/>
      <c r="E71" s="1216" t="s">
        <v>720</v>
      </c>
      <c r="F71" s="1216" t="s">
        <v>721</v>
      </c>
      <c r="G71" s="845"/>
      <c r="H71" s="845"/>
      <c r="I71" s="837" t="s">
        <v>722</v>
      </c>
      <c r="J71" s="837" t="s">
        <v>724</v>
      </c>
      <c r="K71" s="837" t="s">
        <v>724</v>
      </c>
    </row>
    <row r="72" spans="4:11">
      <c r="D72" s="612" t="s">
        <v>1267</v>
      </c>
      <c r="E72" s="1217"/>
      <c r="F72" s="1217"/>
      <c r="G72" s="845"/>
      <c r="H72" s="845"/>
      <c r="I72" s="837"/>
      <c r="J72" s="837"/>
      <c r="K72" s="837"/>
    </row>
    <row r="73" spans="4:11" ht="45.75" customHeight="1">
      <c r="D73" s="608" t="s">
        <v>1155</v>
      </c>
      <c r="E73" s="608">
        <v>2</v>
      </c>
      <c r="F73" s="608">
        <v>2</v>
      </c>
      <c r="G73" s="842" t="s">
        <v>1293</v>
      </c>
      <c r="H73" s="843" t="s">
        <v>1169</v>
      </c>
      <c r="I73" s="609">
        <f>E73+F73</f>
        <v>4</v>
      </c>
      <c r="J73" s="610"/>
      <c r="K73" s="610"/>
    </row>
    <row r="74" spans="4:11" ht="38.25" customHeight="1">
      <c r="D74" s="608" t="s">
        <v>1274</v>
      </c>
      <c r="E74" s="608">
        <v>2</v>
      </c>
      <c r="F74" s="608">
        <v>2</v>
      </c>
      <c r="G74" s="842" t="s">
        <v>1289</v>
      </c>
      <c r="H74" s="843"/>
      <c r="I74" s="609">
        <v>4</v>
      </c>
      <c r="J74" s="610"/>
      <c r="K74" s="610"/>
    </row>
    <row r="75" spans="4:11" ht="36" customHeight="1">
      <c r="D75" s="220" t="s">
        <v>726</v>
      </c>
      <c r="E75" s="220">
        <v>2</v>
      </c>
      <c r="F75" s="220">
        <v>2</v>
      </c>
      <c r="G75" s="838" t="s">
        <v>1290</v>
      </c>
      <c r="H75" s="839" t="s">
        <v>1170</v>
      </c>
      <c r="I75" s="399">
        <f>E75+F75</f>
        <v>4</v>
      </c>
      <c r="J75" s="400"/>
      <c r="K75" s="400"/>
    </row>
    <row r="76" spans="4:11" ht="21" customHeight="1">
      <c r="D76" s="220" t="s">
        <v>1156</v>
      </c>
      <c r="E76" s="220">
        <v>2</v>
      </c>
      <c r="F76" s="220">
        <v>1</v>
      </c>
      <c r="G76" s="838" t="s">
        <v>1162</v>
      </c>
      <c r="H76" s="839" t="s">
        <v>1162</v>
      </c>
      <c r="I76" s="399">
        <f>E76+F76</f>
        <v>3</v>
      </c>
      <c r="J76" s="400"/>
      <c r="K76" s="400"/>
    </row>
    <row r="77" spans="4:11" ht="36" customHeight="1">
      <c r="D77" s="604" t="s">
        <v>1261</v>
      </c>
      <c r="E77" s="220">
        <v>2</v>
      </c>
      <c r="F77" s="220">
        <v>2</v>
      </c>
      <c r="G77" s="840" t="s">
        <v>1297</v>
      </c>
      <c r="H77" s="839"/>
      <c r="I77" s="399">
        <v>4</v>
      </c>
      <c r="J77" s="400"/>
      <c r="K77" s="400"/>
    </row>
    <row r="78" spans="4:11" ht="36.75" customHeight="1">
      <c r="D78" s="604" t="s">
        <v>1271</v>
      </c>
      <c r="E78" s="220">
        <v>1</v>
      </c>
      <c r="F78" s="220">
        <v>1</v>
      </c>
      <c r="G78" s="840" t="s">
        <v>1272</v>
      </c>
      <c r="H78" s="839"/>
      <c r="I78" s="399">
        <v>2</v>
      </c>
      <c r="J78" s="400"/>
      <c r="K78" s="400"/>
    </row>
    <row r="79" spans="4:11" ht="38.25" customHeight="1">
      <c r="D79" s="604" t="s">
        <v>1269</v>
      </c>
      <c r="E79" s="220">
        <v>1</v>
      </c>
      <c r="F79" s="220">
        <v>1</v>
      </c>
      <c r="G79" s="840" t="s">
        <v>1270</v>
      </c>
      <c r="H79" s="839"/>
      <c r="I79" s="399">
        <v>2</v>
      </c>
      <c r="J79" s="400"/>
      <c r="K79" s="400"/>
    </row>
    <row r="80" spans="4:11" ht="71.25" customHeight="1">
      <c r="D80" s="220" t="s">
        <v>1147</v>
      </c>
      <c r="E80" s="220">
        <v>2</v>
      </c>
      <c r="F80" s="220">
        <v>1</v>
      </c>
      <c r="G80" s="838" t="s">
        <v>1292</v>
      </c>
      <c r="H80" s="839" t="s">
        <v>1171</v>
      </c>
      <c r="I80" s="399">
        <f>E80+F80</f>
        <v>3</v>
      </c>
      <c r="J80" s="400"/>
      <c r="K80" s="400"/>
    </row>
    <row r="81" spans="4:11" ht="42.75" customHeight="1">
      <c r="D81" s="220" t="s">
        <v>728</v>
      </c>
      <c r="E81" s="220">
        <v>2</v>
      </c>
      <c r="F81" s="220">
        <v>1</v>
      </c>
      <c r="G81" s="838" t="s">
        <v>1291</v>
      </c>
      <c r="H81" s="839" t="s">
        <v>1164</v>
      </c>
      <c r="I81" s="399">
        <f>E81+F81</f>
        <v>3</v>
      </c>
      <c r="J81" s="400"/>
      <c r="K81" s="400"/>
    </row>
    <row r="82" spans="4:11">
      <c r="D82" s="841" t="s">
        <v>729</v>
      </c>
      <c r="E82" s="841"/>
      <c r="F82" s="841"/>
      <c r="G82" s="841"/>
      <c r="H82" s="841"/>
      <c r="I82" s="225">
        <f>+SUM(K73:K81)/12</f>
        <v>0</v>
      </c>
      <c r="J82" s="401"/>
    </row>
    <row r="83" spans="4:11">
      <c r="D83" s="221"/>
      <c r="E83" s="221"/>
      <c r="F83" s="221"/>
      <c r="G83" s="221"/>
      <c r="H83" s="221"/>
      <c r="I83" s="226"/>
      <c r="J83" s="226"/>
    </row>
    <row r="84" spans="4:11">
      <c r="D84" s="222" t="s">
        <v>23</v>
      </c>
      <c r="E84" s="223"/>
      <c r="F84" s="224"/>
      <c r="G84" s="224"/>
      <c r="H84" s="224"/>
      <c r="I84" s="224"/>
      <c r="J84" s="224"/>
    </row>
    <row r="85" spans="4:11" ht="70.5" customHeight="1">
      <c r="D85" s="216">
        <v>1</v>
      </c>
      <c r="E85" s="867" t="s">
        <v>730</v>
      </c>
      <c r="F85" s="868"/>
      <c r="G85" s="868"/>
      <c r="H85" s="868"/>
      <c r="I85" s="869"/>
      <c r="J85" s="401"/>
    </row>
    <row r="86" spans="4:11" ht="70.5" customHeight="1">
      <c r="D86" s="216">
        <f t="shared" ref="D86:D90" si="3">D85+1</f>
        <v>2</v>
      </c>
      <c r="E86" s="867" t="s">
        <v>731</v>
      </c>
      <c r="F86" s="868"/>
      <c r="G86" s="868"/>
      <c r="H86" s="868"/>
      <c r="I86" s="869"/>
      <c r="J86" s="401"/>
    </row>
    <row r="87" spans="4:11" ht="70.5" customHeight="1">
      <c r="D87" s="216">
        <f t="shared" si="3"/>
        <v>3</v>
      </c>
      <c r="E87" s="867" t="s">
        <v>732</v>
      </c>
      <c r="F87" s="868"/>
      <c r="G87" s="868"/>
      <c r="H87" s="868"/>
      <c r="I87" s="869"/>
      <c r="J87" s="401"/>
    </row>
    <row r="88" spans="4:11" ht="70.5" customHeight="1">
      <c r="D88" s="216">
        <f t="shared" si="3"/>
        <v>4</v>
      </c>
      <c r="E88" s="867" t="s">
        <v>733</v>
      </c>
      <c r="F88" s="868"/>
      <c r="G88" s="868"/>
      <c r="H88" s="868"/>
      <c r="I88" s="869"/>
      <c r="J88" s="401"/>
    </row>
    <row r="89" spans="4:11" ht="70.5" customHeight="1">
      <c r="D89" s="216">
        <f t="shared" si="3"/>
        <v>5</v>
      </c>
      <c r="E89" s="867" t="s">
        <v>734</v>
      </c>
      <c r="F89" s="868"/>
      <c r="G89" s="868"/>
      <c r="H89" s="868"/>
      <c r="I89" s="869"/>
      <c r="J89" s="401"/>
    </row>
    <row r="90" spans="4:11" ht="70.5" customHeight="1">
      <c r="D90" s="216">
        <f t="shared" si="3"/>
        <v>6</v>
      </c>
      <c r="E90" s="867" t="s">
        <v>735</v>
      </c>
      <c r="F90" s="868"/>
      <c r="G90" s="868"/>
      <c r="H90" s="868"/>
      <c r="I90" s="869"/>
      <c r="J90" s="401"/>
    </row>
  </sheetData>
  <mergeCells count="111">
    <mergeCell ref="E87:I87"/>
    <mergeCell ref="E88:I88"/>
    <mergeCell ref="E89:I89"/>
    <mergeCell ref="E90:I90"/>
    <mergeCell ref="G79:H79"/>
    <mergeCell ref="G80:H80"/>
    <mergeCell ref="G81:H81"/>
    <mergeCell ref="D82:H82"/>
    <mergeCell ref="E85:I85"/>
    <mergeCell ref="E86:I86"/>
    <mergeCell ref="G73:H73"/>
    <mergeCell ref="G74:H74"/>
    <mergeCell ref="G75:H75"/>
    <mergeCell ref="G76:H76"/>
    <mergeCell ref="G77:H77"/>
    <mergeCell ref="G78:H78"/>
    <mergeCell ref="J69:J72"/>
    <mergeCell ref="K69:K72"/>
    <mergeCell ref="D70:D71"/>
    <mergeCell ref="E70:F70"/>
    <mergeCell ref="G70:H72"/>
    <mergeCell ref="E71:E72"/>
    <mergeCell ref="F71:F72"/>
    <mergeCell ref="I71:I72"/>
    <mergeCell ref="D69:I69"/>
    <mergeCell ref="G62:H62"/>
    <mergeCell ref="G63:H63"/>
    <mergeCell ref="G64:H64"/>
    <mergeCell ref="G65:H65"/>
    <mergeCell ref="G66:H66"/>
    <mergeCell ref="D67:H67"/>
    <mergeCell ref="F56:F57"/>
    <mergeCell ref="I56:I57"/>
    <mergeCell ref="G58:H58"/>
    <mergeCell ref="G59:H59"/>
    <mergeCell ref="G60:H60"/>
    <mergeCell ref="G61:H61"/>
    <mergeCell ref="J54:J57"/>
    <mergeCell ref="K54:K57"/>
    <mergeCell ref="G51:H51"/>
    <mergeCell ref="D52:H52"/>
    <mergeCell ref="D54:I54"/>
    <mergeCell ref="D55:D56"/>
    <mergeCell ref="E55:F55"/>
    <mergeCell ref="G55:H57"/>
    <mergeCell ref="E56:E57"/>
    <mergeCell ref="G45:H45"/>
    <mergeCell ref="G46:H46"/>
    <mergeCell ref="G47:H47"/>
    <mergeCell ref="G48:H48"/>
    <mergeCell ref="G49:H49"/>
    <mergeCell ref="G50:H50"/>
    <mergeCell ref="J41:J44"/>
    <mergeCell ref="K41:K44"/>
    <mergeCell ref="D42:D43"/>
    <mergeCell ref="E42:F42"/>
    <mergeCell ref="G42:H44"/>
    <mergeCell ref="E43:E44"/>
    <mergeCell ref="F43:F44"/>
    <mergeCell ref="I43:I44"/>
    <mergeCell ref="G36:H36"/>
    <mergeCell ref="G37:H37"/>
    <mergeCell ref="G38:H38"/>
    <mergeCell ref="D39:H39"/>
    <mergeCell ref="D41:I41"/>
    <mergeCell ref="F30:F31"/>
    <mergeCell ref="I30:I31"/>
    <mergeCell ref="G32:H32"/>
    <mergeCell ref="G33:H33"/>
    <mergeCell ref="G34:H34"/>
    <mergeCell ref="G35:H35"/>
    <mergeCell ref="J28:J31"/>
    <mergeCell ref="K28:K31"/>
    <mergeCell ref="G25:H25"/>
    <mergeCell ref="D26:H26"/>
    <mergeCell ref="D28:I28"/>
    <mergeCell ref="D29:D30"/>
    <mergeCell ref="E29:F29"/>
    <mergeCell ref="G29:H31"/>
    <mergeCell ref="E30:E31"/>
    <mergeCell ref="G19:H19"/>
    <mergeCell ref="G20:H20"/>
    <mergeCell ref="G21:H21"/>
    <mergeCell ref="G22:H22"/>
    <mergeCell ref="G23:H23"/>
    <mergeCell ref="G24:H24"/>
    <mergeCell ref="J15:J18"/>
    <mergeCell ref="K15:K18"/>
    <mergeCell ref="D16:D17"/>
    <mergeCell ref="E16:F16"/>
    <mergeCell ref="G16:H18"/>
    <mergeCell ref="E17:E18"/>
    <mergeCell ref="F17:F18"/>
    <mergeCell ref="D13:H13"/>
    <mergeCell ref="D15:I15"/>
    <mergeCell ref="I17:I18"/>
    <mergeCell ref="G7:H7"/>
    <mergeCell ref="G8:H8"/>
    <mergeCell ref="G9:H9"/>
    <mergeCell ref="G10:H10"/>
    <mergeCell ref="G11:H11"/>
    <mergeCell ref="G12:H12"/>
    <mergeCell ref="J3:J6"/>
    <mergeCell ref="K3:K6"/>
    <mergeCell ref="D4:D5"/>
    <mergeCell ref="E4:F4"/>
    <mergeCell ref="G4:H6"/>
    <mergeCell ref="E5:E6"/>
    <mergeCell ref="F5:F6"/>
    <mergeCell ref="I5:I6"/>
    <mergeCell ref="D3:I3"/>
  </mergeCells>
  <printOptions horizontalCentered="1" verticalCentered="1"/>
  <pageMargins left="0.25" right="0.25" top="0.75" bottom="0.75" header="0.3" footer="0.3"/>
  <pageSetup paperSize="9" scale="50" orientation="portrait" r:id="rId1"/>
  <colBreaks count="1" manualBreakCount="1">
    <brk id="1" max="41"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AA107"/>
  <sheetViews>
    <sheetView topLeftCell="A55" workbookViewId="0">
      <pane xSplit="1" topLeftCell="B1" activePane="topRight" state="frozen"/>
      <selection pane="topRight" activeCell="U62" sqref="U62"/>
    </sheetView>
  </sheetViews>
  <sheetFormatPr defaultRowHeight="12.75"/>
  <cols>
    <col min="1" max="1" width="4.42578125" customWidth="1"/>
    <col min="2" max="2" width="5.7109375" customWidth="1"/>
    <col min="3" max="3" width="64.28515625" customWidth="1"/>
    <col min="5" max="5" width="4.7109375" customWidth="1"/>
    <col min="6" max="6" width="22.7109375" hidden="1" customWidth="1"/>
    <col min="7" max="13" width="23.42578125" hidden="1" customWidth="1"/>
    <col min="14" max="15" width="10.5703125" hidden="1" customWidth="1"/>
    <col min="16" max="16" width="12.7109375" customWidth="1"/>
    <col min="17" max="17" width="13.28515625" bestFit="1" customWidth="1"/>
    <col min="18" max="18" width="12.140625" hidden="1" customWidth="1"/>
    <col min="19" max="19" width="13.7109375" hidden="1" customWidth="1"/>
    <col min="20" max="20" width="0" hidden="1" customWidth="1"/>
    <col min="22" max="22" width="18.7109375" customWidth="1"/>
    <col min="23" max="23" width="13.28515625" bestFit="1" customWidth="1"/>
    <col min="24" max="24" width="37.28515625" customWidth="1"/>
    <col min="25" max="25" width="24.7109375" customWidth="1"/>
    <col min="26" max="26" width="16.85546875" customWidth="1"/>
    <col min="27" max="27" width="15" customWidth="1"/>
  </cols>
  <sheetData>
    <row r="1" spans="2:24" ht="15.75">
      <c r="B1" s="462"/>
      <c r="C1" s="462"/>
      <c r="D1" s="462"/>
      <c r="E1" s="462"/>
      <c r="F1" s="462"/>
      <c r="G1" s="462"/>
      <c r="H1" s="462"/>
      <c r="I1" s="462"/>
      <c r="J1" s="462"/>
      <c r="K1" s="462"/>
      <c r="L1" s="462"/>
      <c r="M1" s="462"/>
      <c r="R1" s="831" t="s">
        <v>1141</v>
      </c>
      <c r="S1" s="831"/>
    </row>
    <row r="2" spans="2:24" ht="36.75" customHeight="1">
      <c r="B2" s="832" t="s">
        <v>1106</v>
      </c>
      <c r="C2" s="833"/>
      <c r="D2" s="833"/>
      <c r="E2" s="476"/>
      <c r="F2" s="474" t="s">
        <v>1107</v>
      </c>
      <c r="G2" s="474" t="s">
        <v>1183</v>
      </c>
      <c r="H2" s="474" t="s">
        <v>1187</v>
      </c>
      <c r="I2" s="474" t="s">
        <v>1184</v>
      </c>
      <c r="J2" s="474" t="s">
        <v>1185</v>
      </c>
      <c r="K2" s="474" t="s">
        <v>1186</v>
      </c>
      <c r="L2" s="474" t="s">
        <v>1190</v>
      </c>
      <c r="M2" s="474" t="s">
        <v>1188</v>
      </c>
      <c r="N2" s="834"/>
      <c r="O2" s="835"/>
      <c r="P2" s="832" t="s">
        <v>1108</v>
      </c>
      <c r="Q2" s="836"/>
      <c r="R2" s="832" t="s">
        <v>1108</v>
      </c>
      <c r="S2" s="836"/>
    </row>
    <row r="3" spans="2:24" ht="49.5" customHeight="1">
      <c r="B3" s="475" t="s">
        <v>810</v>
      </c>
      <c r="C3" s="475" t="s">
        <v>1109</v>
      </c>
      <c r="D3" s="475" t="s">
        <v>897</v>
      </c>
      <c r="E3" s="475" t="s">
        <v>1110</v>
      </c>
      <c r="F3" s="475" t="s">
        <v>1111</v>
      </c>
      <c r="G3" s="475" t="s">
        <v>1111</v>
      </c>
      <c r="H3" s="475" t="s">
        <v>1111</v>
      </c>
      <c r="I3" s="475" t="s">
        <v>1111</v>
      </c>
      <c r="J3" s="475" t="s">
        <v>1111</v>
      </c>
      <c r="K3" s="475" t="s">
        <v>1111</v>
      </c>
      <c r="L3" s="475" t="s">
        <v>1111</v>
      </c>
      <c r="M3" s="475" t="s">
        <v>1111</v>
      </c>
      <c r="N3" s="477" t="s">
        <v>1112</v>
      </c>
      <c r="O3" s="478" t="s">
        <v>715</v>
      </c>
      <c r="P3" s="475" t="s">
        <v>1113</v>
      </c>
      <c r="Q3" s="475" t="s">
        <v>1114</v>
      </c>
      <c r="R3" s="475" t="s">
        <v>1115</v>
      </c>
      <c r="S3" s="475" t="s">
        <v>1114</v>
      </c>
    </row>
    <row r="4" spans="2:24" ht="20.25" customHeight="1">
      <c r="B4" s="471">
        <v>1</v>
      </c>
      <c r="C4" s="762" t="s">
        <v>1116</v>
      </c>
      <c r="D4" s="471" t="s">
        <v>891</v>
      </c>
      <c r="E4" s="479">
        <v>250</v>
      </c>
      <c r="F4" s="468">
        <v>4.29</v>
      </c>
      <c r="G4" s="613">
        <v>11.77</v>
      </c>
      <c r="H4" s="464">
        <v>7.89</v>
      </c>
      <c r="I4" s="613">
        <v>6.99</v>
      </c>
      <c r="J4" s="613">
        <v>5.59</v>
      </c>
      <c r="K4" s="613">
        <v>6.39</v>
      </c>
      <c r="L4" s="464"/>
      <c r="M4" s="613"/>
      <c r="N4" s="464">
        <f>AVERAGE(F4:M4)</f>
        <v>7.1533333333333333</v>
      </c>
      <c r="O4" s="464">
        <f>MEDIAN(F4:M4)</f>
        <v>6.6899999999999995</v>
      </c>
      <c r="P4" s="465"/>
      <c r="Q4" s="465">
        <f>P4*$E4</f>
        <v>0</v>
      </c>
      <c r="R4" s="466"/>
      <c r="S4" s="466">
        <f t="shared" ref="S4:S49" si="0">R4*E4</f>
        <v>0</v>
      </c>
      <c r="T4" s="467" t="str">
        <f>IF(R4&gt;P4,"Errado","Ok")</f>
        <v>Ok</v>
      </c>
      <c r="W4" s="490"/>
    </row>
    <row r="5" spans="2:24" ht="20.25" customHeight="1">
      <c r="B5" s="471">
        <f>B4+1</f>
        <v>2</v>
      </c>
      <c r="C5" s="762" t="s">
        <v>1265</v>
      </c>
      <c r="D5" s="471" t="s">
        <v>889</v>
      </c>
      <c r="E5" s="463">
        <v>30</v>
      </c>
      <c r="F5" s="468">
        <v>6.34</v>
      </c>
      <c r="G5" s="613">
        <v>45.2</v>
      </c>
      <c r="H5" s="464">
        <v>8.9</v>
      </c>
      <c r="I5" s="613">
        <v>12.5</v>
      </c>
      <c r="J5" s="613">
        <v>3.99</v>
      </c>
      <c r="K5" s="613">
        <v>12.79</v>
      </c>
      <c r="L5" s="464"/>
      <c r="M5" s="613"/>
      <c r="N5" s="464">
        <f t="shared" ref="N5:N49" si="1">AVERAGE(F5:M5)</f>
        <v>14.953333333333333</v>
      </c>
      <c r="O5" s="464">
        <f t="shared" ref="O5:O49" si="2">MEDIAN(F5:M5)</f>
        <v>10.7</v>
      </c>
      <c r="P5" s="465"/>
      <c r="Q5" s="465">
        <f t="shared" ref="Q5:Q49" si="3">P5*$E5</f>
        <v>0</v>
      </c>
      <c r="R5" s="466"/>
      <c r="S5" s="466">
        <f t="shared" si="0"/>
        <v>0</v>
      </c>
      <c r="T5" s="467" t="str">
        <f t="shared" ref="T5:T49" si="4">IF(R5&gt;P5,"Errado","Ok")</f>
        <v>Ok</v>
      </c>
      <c r="W5" s="490"/>
    </row>
    <row r="6" spans="2:24" ht="20.25" customHeight="1">
      <c r="B6" s="471">
        <f t="shared" ref="B6:B47" si="5">B5+1</f>
        <v>3</v>
      </c>
      <c r="C6" s="762" t="s">
        <v>1117</v>
      </c>
      <c r="D6" s="471" t="s">
        <v>889</v>
      </c>
      <c r="E6" s="463">
        <v>50</v>
      </c>
      <c r="F6" s="468">
        <v>2.6</v>
      </c>
      <c r="G6" s="613">
        <v>18</v>
      </c>
      <c r="H6" s="464">
        <v>6.99</v>
      </c>
      <c r="I6" s="613">
        <v>2.89</v>
      </c>
      <c r="J6" s="613">
        <v>2.09</v>
      </c>
      <c r="K6" s="613">
        <v>2.89</v>
      </c>
      <c r="L6" s="464"/>
      <c r="M6" s="613"/>
      <c r="N6" s="464">
        <f t="shared" si="1"/>
        <v>5.910000000000001</v>
      </c>
      <c r="O6" s="464">
        <f t="shared" si="2"/>
        <v>2.89</v>
      </c>
      <c r="P6" s="465"/>
      <c r="Q6" s="465">
        <f t="shared" si="3"/>
        <v>0</v>
      </c>
      <c r="R6" s="466"/>
      <c r="S6" s="466">
        <f t="shared" si="0"/>
        <v>0</v>
      </c>
      <c r="T6" s="467" t="str">
        <f t="shared" si="4"/>
        <v>Ok</v>
      </c>
      <c r="W6" s="490"/>
    </row>
    <row r="7" spans="2:24" ht="38.25" customHeight="1">
      <c r="B7" s="471">
        <f t="shared" si="5"/>
        <v>4</v>
      </c>
      <c r="C7" s="762" t="s">
        <v>1327</v>
      </c>
      <c r="D7" s="471" t="s">
        <v>1118</v>
      </c>
      <c r="E7" s="463">
        <v>20</v>
      </c>
      <c r="F7" s="468">
        <v>2.7</v>
      </c>
      <c r="G7" s="613">
        <v>12.64</v>
      </c>
      <c r="H7" s="464">
        <v>6.1</v>
      </c>
      <c r="I7" s="613">
        <v>4.99</v>
      </c>
      <c r="J7" s="613">
        <v>5.49</v>
      </c>
      <c r="K7" s="613">
        <v>5.62</v>
      </c>
      <c r="L7" s="464"/>
      <c r="M7" s="613"/>
      <c r="N7" s="464">
        <f t="shared" si="1"/>
        <v>6.2566666666666668</v>
      </c>
      <c r="O7" s="464">
        <f t="shared" si="2"/>
        <v>5.5549999999999997</v>
      </c>
      <c r="P7" s="465"/>
      <c r="Q7" s="465">
        <f t="shared" si="3"/>
        <v>0</v>
      </c>
      <c r="R7" s="466"/>
      <c r="S7" s="466">
        <f t="shared" si="0"/>
        <v>0</v>
      </c>
      <c r="T7" s="467" t="str">
        <f t="shared" si="4"/>
        <v>Ok</v>
      </c>
      <c r="W7" s="490"/>
    </row>
    <row r="8" spans="2:24" ht="38.25" customHeight="1">
      <c r="B8" s="471">
        <f t="shared" si="5"/>
        <v>5</v>
      </c>
      <c r="C8" s="762" t="s">
        <v>1328</v>
      </c>
      <c r="D8" s="471" t="s">
        <v>1118</v>
      </c>
      <c r="E8" s="463">
        <v>20</v>
      </c>
      <c r="F8" s="468">
        <v>3.16</v>
      </c>
      <c r="G8" s="613">
        <v>9.39</v>
      </c>
      <c r="H8" s="464">
        <v>5.2</v>
      </c>
      <c r="I8" s="613">
        <v>6.99</v>
      </c>
      <c r="J8" s="613">
        <v>12.95</v>
      </c>
      <c r="K8" s="613">
        <v>4.1900000000000004</v>
      </c>
      <c r="L8" s="464"/>
      <c r="M8" s="613"/>
      <c r="N8" s="464">
        <f t="shared" si="1"/>
        <v>6.9799999999999995</v>
      </c>
      <c r="O8" s="464">
        <f t="shared" si="2"/>
        <v>6.0950000000000006</v>
      </c>
      <c r="P8" s="465"/>
      <c r="Q8" s="465">
        <f t="shared" si="3"/>
        <v>0</v>
      </c>
      <c r="R8" s="466"/>
      <c r="S8" s="466">
        <f t="shared" si="0"/>
        <v>0</v>
      </c>
      <c r="T8" s="467" t="str">
        <f t="shared" si="4"/>
        <v>Ok</v>
      </c>
      <c r="W8" s="490"/>
    </row>
    <row r="9" spans="2:24" ht="38.25" customHeight="1">
      <c r="B9" s="471">
        <f t="shared" si="5"/>
        <v>6</v>
      </c>
      <c r="C9" s="762" t="s">
        <v>1329</v>
      </c>
      <c r="D9" s="471" t="s">
        <v>1118</v>
      </c>
      <c r="E9" s="463">
        <v>12</v>
      </c>
      <c r="F9" s="468">
        <v>8.44</v>
      </c>
      <c r="G9" s="613">
        <v>9.6300000000000008</v>
      </c>
      <c r="H9" s="464">
        <v>10.119999999999999</v>
      </c>
      <c r="I9" s="613">
        <v>6.99</v>
      </c>
      <c r="J9" s="613">
        <v>6.79</v>
      </c>
      <c r="K9" s="613">
        <v>7.69</v>
      </c>
      <c r="L9" s="464"/>
      <c r="M9" s="613"/>
      <c r="N9" s="464">
        <f t="shared" si="1"/>
        <v>8.2766666666666655</v>
      </c>
      <c r="O9" s="464">
        <f t="shared" si="2"/>
        <v>8.0649999999999995</v>
      </c>
      <c r="P9" s="465"/>
      <c r="Q9" s="465">
        <f t="shared" si="3"/>
        <v>0</v>
      </c>
      <c r="R9" s="466"/>
      <c r="S9" s="466">
        <f t="shared" si="0"/>
        <v>0</v>
      </c>
      <c r="T9" s="467" t="str">
        <f t="shared" si="4"/>
        <v>Ok</v>
      </c>
      <c r="W9" s="490"/>
    </row>
    <row r="10" spans="2:24" ht="38.25" customHeight="1">
      <c r="B10" s="471">
        <f t="shared" si="5"/>
        <v>7</v>
      </c>
      <c r="C10" s="762" t="s">
        <v>1330</v>
      </c>
      <c r="D10" s="471" t="s">
        <v>1118</v>
      </c>
      <c r="E10" s="463">
        <v>20</v>
      </c>
      <c r="F10" s="468">
        <v>3.5</v>
      </c>
      <c r="G10" s="613">
        <v>11.41</v>
      </c>
      <c r="H10" s="464">
        <v>13.8</v>
      </c>
      <c r="I10" s="613">
        <v>6.49</v>
      </c>
      <c r="J10" s="613">
        <v>9.85</v>
      </c>
      <c r="K10" s="613">
        <v>5.89</v>
      </c>
      <c r="L10" s="464"/>
      <c r="M10" s="613"/>
      <c r="N10" s="464">
        <f t="shared" si="1"/>
        <v>8.49</v>
      </c>
      <c r="O10" s="464">
        <f t="shared" si="2"/>
        <v>8.17</v>
      </c>
      <c r="P10" s="465"/>
      <c r="Q10" s="465">
        <f t="shared" si="3"/>
        <v>0</v>
      </c>
      <c r="R10" s="466"/>
      <c r="S10" s="466">
        <f t="shared" si="0"/>
        <v>0</v>
      </c>
      <c r="T10" s="467" t="str">
        <f t="shared" si="4"/>
        <v>Ok</v>
      </c>
      <c r="W10" s="490"/>
    </row>
    <row r="11" spans="2:24" ht="70.5" customHeight="1">
      <c r="B11" s="471">
        <f t="shared" si="5"/>
        <v>8</v>
      </c>
      <c r="C11" s="762" t="s">
        <v>1331</v>
      </c>
      <c r="D11" s="471" t="s">
        <v>889</v>
      </c>
      <c r="E11" s="463">
        <v>600</v>
      </c>
      <c r="F11" s="468">
        <v>16.62</v>
      </c>
      <c r="G11" s="613">
        <v>55</v>
      </c>
      <c r="H11" s="464">
        <v>26</v>
      </c>
      <c r="I11" s="613">
        <f>22.99*2</f>
        <v>45.98</v>
      </c>
      <c r="J11" s="613">
        <f>16.45*2</f>
        <v>32.9</v>
      </c>
      <c r="K11" s="613">
        <f>22.99*2</f>
        <v>45.98</v>
      </c>
      <c r="L11" s="464"/>
      <c r="M11" s="613"/>
      <c r="N11" s="464">
        <f t="shared" si="1"/>
        <v>37.08</v>
      </c>
      <c r="O11" s="464">
        <f t="shared" si="2"/>
        <v>39.44</v>
      </c>
      <c r="P11" s="465"/>
      <c r="Q11" s="465">
        <f t="shared" si="3"/>
        <v>0</v>
      </c>
      <c r="R11" s="466"/>
      <c r="S11" s="466">
        <f t="shared" si="0"/>
        <v>0</v>
      </c>
      <c r="T11" s="467" t="str">
        <f t="shared" si="4"/>
        <v>Ok</v>
      </c>
      <c r="W11" s="490"/>
    </row>
    <row r="12" spans="2:24" ht="38.25" customHeight="1">
      <c r="B12" s="471">
        <f t="shared" si="5"/>
        <v>9</v>
      </c>
      <c r="C12" s="762" t="s">
        <v>1332</v>
      </c>
      <c r="D12" s="471" t="s">
        <v>1119</v>
      </c>
      <c r="E12" s="463">
        <v>100</v>
      </c>
      <c r="F12" s="468">
        <v>3.95</v>
      </c>
      <c r="G12" s="613">
        <v>19.559999999999999</v>
      </c>
      <c r="H12" s="464">
        <v>12.9</v>
      </c>
      <c r="I12" s="613">
        <v>15.99</v>
      </c>
      <c r="J12" s="613">
        <v>3.99</v>
      </c>
      <c r="K12" s="613">
        <v>13.79</v>
      </c>
      <c r="L12" s="464"/>
      <c r="M12" s="613"/>
      <c r="N12" s="464">
        <f t="shared" si="1"/>
        <v>11.696666666666667</v>
      </c>
      <c r="O12" s="464">
        <f t="shared" si="2"/>
        <v>13.344999999999999</v>
      </c>
      <c r="P12" s="465"/>
      <c r="Q12" s="465">
        <f t="shared" si="3"/>
        <v>0</v>
      </c>
      <c r="R12" s="466"/>
      <c r="S12" s="466">
        <f t="shared" si="0"/>
        <v>0</v>
      </c>
      <c r="T12" s="467" t="str">
        <f t="shared" si="4"/>
        <v>Ok</v>
      </c>
      <c r="W12" s="490"/>
    </row>
    <row r="13" spans="2:24" ht="20.25" customHeight="1">
      <c r="B13" s="471">
        <f t="shared" si="5"/>
        <v>10</v>
      </c>
      <c r="C13" s="762" t="s">
        <v>1120</v>
      </c>
      <c r="D13" s="471" t="s">
        <v>889</v>
      </c>
      <c r="E13" s="463">
        <v>10</v>
      </c>
      <c r="F13" s="468">
        <v>9.35</v>
      </c>
      <c r="G13" s="613">
        <v>12.59</v>
      </c>
      <c r="H13" s="464">
        <v>15.9</v>
      </c>
      <c r="I13" s="613">
        <v>8.49</v>
      </c>
      <c r="J13" s="613"/>
      <c r="K13" s="613"/>
      <c r="L13" s="464">
        <v>18.329999999999998</v>
      </c>
      <c r="M13" s="613">
        <v>6.55</v>
      </c>
      <c r="N13" s="464">
        <f t="shared" si="1"/>
        <v>11.868333333333332</v>
      </c>
      <c r="O13" s="464">
        <f t="shared" si="2"/>
        <v>10.969999999999999</v>
      </c>
      <c r="P13" s="465"/>
      <c r="Q13" s="465">
        <f t="shared" si="3"/>
        <v>0</v>
      </c>
      <c r="R13" s="466"/>
      <c r="S13" s="466">
        <f t="shared" si="0"/>
        <v>0</v>
      </c>
      <c r="T13" s="467" t="str">
        <f t="shared" si="4"/>
        <v>Ok</v>
      </c>
      <c r="W13" s="490"/>
      <c r="X13">
        <f>46/2</f>
        <v>23</v>
      </c>
    </row>
    <row r="14" spans="2:24" ht="20.25" customHeight="1">
      <c r="B14" s="471">
        <f t="shared" si="5"/>
        <v>11</v>
      </c>
      <c r="C14" s="762" t="s">
        <v>1121</v>
      </c>
      <c r="D14" s="471" t="s">
        <v>889</v>
      </c>
      <c r="E14" s="463">
        <v>3</v>
      </c>
      <c r="F14" s="468">
        <v>4.16</v>
      </c>
      <c r="G14" s="613">
        <v>8.09</v>
      </c>
      <c r="H14" s="464">
        <v>5.9</v>
      </c>
      <c r="I14" s="613"/>
      <c r="J14" s="613">
        <v>9.69</v>
      </c>
      <c r="K14" s="613"/>
      <c r="L14" s="464">
        <v>2.6</v>
      </c>
      <c r="M14" s="613">
        <v>1.9</v>
      </c>
      <c r="N14" s="464">
        <f t="shared" si="1"/>
        <v>5.39</v>
      </c>
      <c r="O14" s="464">
        <f t="shared" si="2"/>
        <v>5.03</v>
      </c>
      <c r="P14" s="465"/>
      <c r="Q14" s="465">
        <f t="shared" si="3"/>
        <v>0</v>
      </c>
      <c r="R14" s="466"/>
      <c r="S14" s="466">
        <f t="shared" si="0"/>
        <v>0</v>
      </c>
      <c r="T14" s="467" t="str">
        <f t="shared" si="4"/>
        <v>Ok</v>
      </c>
      <c r="W14" s="490"/>
    </row>
    <row r="15" spans="2:24" ht="20.25" customHeight="1">
      <c r="B15" s="471">
        <f t="shared" si="5"/>
        <v>12</v>
      </c>
      <c r="C15" s="762" t="s">
        <v>1122</v>
      </c>
      <c r="D15" s="471" t="s">
        <v>889</v>
      </c>
      <c r="E15" s="463">
        <v>2</v>
      </c>
      <c r="F15" s="468"/>
      <c r="G15" s="613">
        <v>9.73</v>
      </c>
      <c r="H15" s="464">
        <v>5.6</v>
      </c>
      <c r="I15" s="613"/>
      <c r="J15" s="613"/>
      <c r="K15" s="613"/>
      <c r="L15" s="464">
        <v>2.72</v>
      </c>
      <c r="M15" s="613">
        <v>2.85</v>
      </c>
      <c r="N15" s="464">
        <f t="shared" si="1"/>
        <v>5.2250000000000005</v>
      </c>
      <c r="O15" s="464">
        <f t="shared" si="2"/>
        <v>4.2249999999999996</v>
      </c>
      <c r="P15" s="465"/>
      <c r="Q15" s="465">
        <f t="shared" si="3"/>
        <v>0</v>
      </c>
      <c r="R15" s="466"/>
      <c r="S15" s="466">
        <f t="shared" si="0"/>
        <v>0</v>
      </c>
      <c r="T15" s="467"/>
      <c r="W15" s="490"/>
    </row>
    <row r="16" spans="2:24" ht="20.25" customHeight="1">
      <c r="B16" s="471">
        <f t="shared" si="5"/>
        <v>13</v>
      </c>
      <c r="C16" s="762" t="s">
        <v>1123</v>
      </c>
      <c r="D16" s="471" t="s">
        <v>1119</v>
      </c>
      <c r="E16" s="463">
        <v>12</v>
      </c>
      <c r="F16" s="468">
        <v>32.200000000000003</v>
      </c>
      <c r="G16" s="613">
        <v>45.12</v>
      </c>
      <c r="H16" s="464">
        <v>156</v>
      </c>
      <c r="I16" s="613"/>
      <c r="J16" s="613">
        <v>4.99</v>
      </c>
      <c r="K16" s="613"/>
      <c r="L16" s="464">
        <v>7.11</v>
      </c>
      <c r="M16" s="613">
        <v>5.42</v>
      </c>
      <c r="N16" s="464">
        <f t="shared" si="1"/>
        <v>41.806666666666665</v>
      </c>
      <c r="O16" s="464">
        <f t="shared" si="2"/>
        <v>19.655000000000001</v>
      </c>
      <c r="P16" s="465"/>
      <c r="Q16" s="465">
        <f t="shared" si="3"/>
        <v>0</v>
      </c>
      <c r="R16" s="466"/>
      <c r="S16" s="466">
        <f t="shared" si="0"/>
        <v>0</v>
      </c>
      <c r="T16" s="467" t="str">
        <f t="shared" si="4"/>
        <v>Ok</v>
      </c>
      <c r="W16" s="490"/>
    </row>
    <row r="17" spans="1:23" ht="20.25" customHeight="1">
      <c r="B17" s="471">
        <f t="shared" si="5"/>
        <v>14</v>
      </c>
      <c r="C17" s="762" t="s">
        <v>1333</v>
      </c>
      <c r="D17" s="471" t="s">
        <v>1118</v>
      </c>
      <c r="E17" s="463">
        <v>500</v>
      </c>
      <c r="F17" s="468">
        <v>3.64</v>
      </c>
      <c r="G17" s="613">
        <v>26.05</v>
      </c>
      <c r="H17" s="464">
        <v>10.9</v>
      </c>
      <c r="I17" s="613">
        <v>10.49</v>
      </c>
      <c r="J17" s="613">
        <v>4.79</v>
      </c>
      <c r="K17" s="613">
        <v>14.99</v>
      </c>
      <c r="L17" s="464"/>
      <c r="M17" s="613"/>
      <c r="N17" s="464">
        <f t="shared" si="1"/>
        <v>11.81</v>
      </c>
      <c r="O17" s="464">
        <f t="shared" si="2"/>
        <v>10.695</v>
      </c>
      <c r="P17" s="465"/>
      <c r="Q17" s="465">
        <f t="shared" si="3"/>
        <v>0</v>
      </c>
      <c r="R17" s="466"/>
      <c r="S17" s="466">
        <f t="shared" si="0"/>
        <v>0</v>
      </c>
      <c r="T17" s="467" t="str">
        <f t="shared" si="4"/>
        <v>Ok</v>
      </c>
      <c r="W17" s="490"/>
    </row>
    <row r="18" spans="1:23" ht="20.25" customHeight="1">
      <c r="B18" s="471">
        <f t="shared" si="5"/>
        <v>15</v>
      </c>
      <c r="C18" s="762" t="s">
        <v>1334</v>
      </c>
      <c r="D18" s="471" t="s">
        <v>1118</v>
      </c>
      <c r="E18" s="463">
        <v>50</v>
      </c>
      <c r="F18" s="468">
        <v>2.89</v>
      </c>
      <c r="G18" s="613">
        <v>31.9</v>
      </c>
      <c r="H18" s="464">
        <v>7.89</v>
      </c>
      <c r="I18" s="613">
        <v>3.99</v>
      </c>
      <c r="J18" s="613">
        <v>2.99</v>
      </c>
      <c r="K18" s="613">
        <v>3.29</v>
      </c>
      <c r="L18" s="464"/>
      <c r="M18" s="613"/>
      <c r="N18" s="464">
        <f t="shared" si="1"/>
        <v>8.8250000000000011</v>
      </c>
      <c r="O18" s="464">
        <f t="shared" si="2"/>
        <v>3.64</v>
      </c>
      <c r="P18" s="465"/>
      <c r="Q18" s="465">
        <f t="shared" si="3"/>
        <v>0</v>
      </c>
      <c r="R18" s="466"/>
      <c r="S18" s="466">
        <f t="shared" si="0"/>
        <v>0</v>
      </c>
      <c r="T18" s="467" t="str">
        <f t="shared" si="4"/>
        <v>Ok</v>
      </c>
      <c r="W18" s="490"/>
    </row>
    <row r="19" spans="1:23" ht="41.25" customHeight="1">
      <c r="B19" s="471">
        <f t="shared" si="5"/>
        <v>16</v>
      </c>
      <c r="C19" s="762" t="s">
        <v>1335</v>
      </c>
      <c r="D19" s="471" t="s">
        <v>889</v>
      </c>
      <c r="E19" s="463">
        <v>70</v>
      </c>
      <c r="F19" s="468">
        <v>2.0299999999999998</v>
      </c>
      <c r="G19" s="613">
        <v>5.8</v>
      </c>
      <c r="H19" s="464">
        <v>4.5</v>
      </c>
      <c r="I19" s="613">
        <v>2.99</v>
      </c>
      <c r="J19" s="613">
        <v>2.15</v>
      </c>
      <c r="K19" s="613">
        <v>2.29</v>
      </c>
      <c r="L19" s="464"/>
      <c r="M19" s="613"/>
      <c r="N19" s="464">
        <f t="shared" si="1"/>
        <v>3.293333333333333</v>
      </c>
      <c r="O19" s="464">
        <f t="shared" si="2"/>
        <v>2.64</v>
      </c>
      <c r="P19" s="465"/>
      <c r="Q19" s="465">
        <f t="shared" si="3"/>
        <v>0</v>
      </c>
      <c r="R19" s="466"/>
      <c r="S19" s="466">
        <f t="shared" si="0"/>
        <v>0</v>
      </c>
      <c r="T19" s="467" t="str">
        <f t="shared" si="4"/>
        <v>Ok</v>
      </c>
      <c r="W19" s="490"/>
    </row>
    <row r="20" spans="1:23" ht="41.25" customHeight="1">
      <c r="B20" s="471">
        <f t="shared" si="5"/>
        <v>17</v>
      </c>
      <c r="C20" s="762" t="s">
        <v>1336</v>
      </c>
      <c r="D20" s="471" t="s">
        <v>1118</v>
      </c>
      <c r="E20" s="463">
        <v>11</v>
      </c>
      <c r="F20" s="468">
        <v>2</v>
      </c>
      <c r="G20" s="613">
        <v>7.9</v>
      </c>
      <c r="H20" s="464">
        <v>15.5</v>
      </c>
      <c r="I20" s="613">
        <v>2.99</v>
      </c>
      <c r="J20" s="613">
        <v>2.29</v>
      </c>
      <c r="K20" s="613">
        <v>2.4900000000000002</v>
      </c>
      <c r="L20" s="464"/>
      <c r="M20" s="613"/>
      <c r="N20" s="464">
        <f t="shared" si="1"/>
        <v>5.5283333333333333</v>
      </c>
      <c r="O20" s="464">
        <f t="shared" si="2"/>
        <v>2.74</v>
      </c>
      <c r="P20" s="465"/>
      <c r="Q20" s="465">
        <f t="shared" si="3"/>
        <v>0</v>
      </c>
      <c r="R20" s="466"/>
      <c r="S20" s="466">
        <f t="shared" si="0"/>
        <v>0</v>
      </c>
      <c r="T20" s="467" t="str">
        <f t="shared" si="4"/>
        <v>Ok</v>
      </c>
      <c r="W20" s="490"/>
    </row>
    <row r="21" spans="1:23" ht="41.25" customHeight="1">
      <c r="B21" s="471">
        <f t="shared" si="5"/>
        <v>18</v>
      </c>
      <c r="C21" s="762" t="s">
        <v>1337</v>
      </c>
      <c r="D21" s="471" t="s">
        <v>889</v>
      </c>
      <c r="E21" s="463">
        <v>50</v>
      </c>
      <c r="F21" s="468">
        <v>0.68</v>
      </c>
      <c r="G21" s="613">
        <v>11.62</v>
      </c>
      <c r="H21" s="464">
        <v>1.54</v>
      </c>
      <c r="I21" s="613">
        <v>7.99</v>
      </c>
      <c r="J21" s="613">
        <v>2.89</v>
      </c>
      <c r="K21" s="613">
        <v>7.09</v>
      </c>
      <c r="L21" s="464"/>
      <c r="M21" s="613"/>
      <c r="N21" s="464">
        <f t="shared" si="1"/>
        <v>5.3016666666666667</v>
      </c>
      <c r="O21" s="464">
        <f t="shared" si="2"/>
        <v>4.99</v>
      </c>
      <c r="P21" s="465"/>
      <c r="Q21" s="465">
        <f t="shared" si="3"/>
        <v>0</v>
      </c>
      <c r="R21" s="466"/>
      <c r="S21" s="466">
        <f t="shared" si="0"/>
        <v>0</v>
      </c>
      <c r="T21" s="467" t="str">
        <f t="shared" si="4"/>
        <v>Ok</v>
      </c>
      <c r="W21" s="490"/>
    </row>
    <row r="22" spans="1:23" ht="28.5" customHeight="1">
      <c r="B22" s="471">
        <f t="shared" si="5"/>
        <v>19</v>
      </c>
      <c r="C22" s="762" t="s">
        <v>1338</v>
      </c>
      <c r="D22" s="471" t="s">
        <v>889</v>
      </c>
      <c r="E22" s="463">
        <v>20</v>
      </c>
      <c r="F22" s="468">
        <v>2.83</v>
      </c>
      <c r="G22" s="613">
        <v>7.9</v>
      </c>
      <c r="H22" s="464">
        <v>5.23</v>
      </c>
      <c r="I22" s="613">
        <v>10.49</v>
      </c>
      <c r="J22" s="613">
        <v>4.09</v>
      </c>
      <c r="K22" s="613"/>
      <c r="L22" s="464"/>
      <c r="M22" s="613"/>
      <c r="N22" s="464">
        <f t="shared" si="1"/>
        <v>6.1080000000000005</v>
      </c>
      <c r="O22" s="464">
        <f t="shared" si="2"/>
        <v>5.23</v>
      </c>
      <c r="P22" s="465"/>
      <c r="Q22" s="465">
        <f t="shared" si="3"/>
        <v>0</v>
      </c>
      <c r="R22" s="466"/>
      <c r="S22" s="466">
        <f t="shared" si="0"/>
        <v>0</v>
      </c>
      <c r="T22" s="467" t="str">
        <f t="shared" si="4"/>
        <v>Ok</v>
      </c>
      <c r="W22" s="490"/>
    </row>
    <row r="23" spans="1:23" ht="27" customHeight="1">
      <c r="B23" s="471">
        <f t="shared" si="5"/>
        <v>20</v>
      </c>
      <c r="C23" s="762" t="s">
        <v>1124</v>
      </c>
      <c r="D23" s="471" t="s">
        <v>889</v>
      </c>
      <c r="E23" s="463">
        <v>25</v>
      </c>
      <c r="F23" s="468">
        <v>4.05</v>
      </c>
      <c r="G23" s="613">
        <v>15.96</v>
      </c>
      <c r="H23" s="464">
        <v>6.89</v>
      </c>
      <c r="I23" s="613">
        <v>13.99</v>
      </c>
      <c r="J23" s="613">
        <v>3.99</v>
      </c>
      <c r="K23" s="613">
        <v>14.99</v>
      </c>
      <c r="L23" s="464"/>
      <c r="M23" s="613"/>
      <c r="N23" s="464">
        <f t="shared" si="1"/>
        <v>9.9783333333333335</v>
      </c>
      <c r="O23" s="464">
        <f t="shared" si="2"/>
        <v>10.44</v>
      </c>
      <c r="P23" s="465"/>
      <c r="Q23" s="465">
        <f t="shared" si="3"/>
        <v>0</v>
      </c>
      <c r="R23" s="466"/>
      <c r="S23" s="466">
        <f t="shared" si="0"/>
        <v>0</v>
      </c>
      <c r="T23" s="467" t="str">
        <f t="shared" si="4"/>
        <v>Ok</v>
      </c>
      <c r="W23" s="490"/>
    </row>
    <row r="24" spans="1:23" ht="35.25" customHeight="1">
      <c r="B24" s="471">
        <f t="shared" si="5"/>
        <v>21</v>
      </c>
      <c r="C24" s="762" t="s">
        <v>1125</v>
      </c>
      <c r="D24" s="471" t="s">
        <v>1118</v>
      </c>
      <c r="E24" s="463">
        <v>30</v>
      </c>
      <c r="F24" s="468">
        <v>2.08</v>
      </c>
      <c r="G24" s="613">
        <v>8.9600000000000009</v>
      </c>
      <c r="H24" s="464">
        <v>12.58</v>
      </c>
      <c r="I24" s="613">
        <v>7.99</v>
      </c>
      <c r="J24" s="613">
        <v>2.79</v>
      </c>
      <c r="K24" s="613">
        <v>3.29</v>
      </c>
      <c r="L24" s="464"/>
      <c r="M24" s="613"/>
      <c r="N24" s="464">
        <f t="shared" si="1"/>
        <v>6.2816666666666663</v>
      </c>
      <c r="O24" s="464">
        <f t="shared" si="2"/>
        <v>5.6400000000000006</v>
      </c>
      <c r="P24" s="465"/>
      <c r="Q24" s="465">
        <f t="shared" si="3"/>
        <v>0</v>
      </c>
      <c r="R24" s="466"/>
      <c r="S24" s="466">
        <f t="shared" si="0"/>
        <v>0</v>
      </c>
      <c r="T24" s="467" t="str">
        <f t="shared" si="4"/>
        <v>Ok</v>
      </c>
      <c r="W24" s="490"/>
    </row>
    <row r="25" spans="1:23" ht="35.25" customHeight="1">
      <c r="A25" s="764"/>
      <c r="B25" s="471">
        <f t="shared" si="5"/>
        <v>22</v>
      </c>
      <c r="C25" s="762" t="s">
        <v>1126</v>
      </c>
      <c r="D25" s="471" t="s">
        <v>889</v>
      </c>
      <c r="E25" s="463">
        <v>2</v>
      </c>
      <c r="F25" s="468">
        <v>109.08</v>
      </c>
      <c r="G25" s="613">
        <v>68.56</v>
      </c>
      <c r="H25" s="464">
        <v>123</v>
      </c>
      <c r="I25" s="613"/>
      <c r="J25" s="613"/>
      <c r="K25" s="613"/>
      <c r="L25" s="464">
        <v>138.96</v>
      </c>
      <c r="M25" s="613">
        <v>130.63</v>
      </c>
      <c r="N25" s="464">
        <f t="shared" si="1"/>
        <v>114.04600000000001</v>
      </c>
      <c r="O25" s="464">
        <f t="shared" si="2"/>
        <v>123</v>
      </c>
      <c r="P25" s="465"/>
      <c r="Q25" s="465">
        <f t="shared" si="3"/>
        <v>0</v>
      </c>
      <c r="R25" s="466"/>
      <c r="S25" s="466">
        <f t="shared" si="0"/>
        <v>0</v>
      </c>
      <c r="T25" s="467" t="str">
        <f t="shared" si="4"/>
        <v>Ok</v>
      </c>
      <c r="W25" s="490"/>
    </row>
    <row r="26" spans="1:23" ht="35.25" customHeight="1">
      <c r="B26" s="471">
        <f t="shared" si="5"/>
        <v>23</v>
      </c>
      <c r="C26" s="762" t="s">
        <v>1339</v>
      </c>
      <c r="D26" s="471" t="s">
        <v>889</v>
      </c>
      <c r="E26" s="463">
        <v>30</v>
      </c>
      <c r="F26" s="468">
        <v>16.62</v>
      </c>
      <c r="G26" s="613">
        <v>34.9</v>
      </c>
      <c r="H26" s="464">
        <v>19.600000000000001</v>
      </c>
      <c r="I26" s="613">
        <v>23.99</v>
      </c>
      <c r="J26" s="613">
        <v>14.95</v>
      </c>
      <c r="K26" s="613">
        <v>23.89</v>
      </c>
      <c r="L26" s="464"/>
      <c r="M26" s="613"/>
      <c r="N26" s="464">
        <f t="shared" si="1"/>
        <v>22.324999999999999</v>
      </c>
      <c r="O26" s="464">
        <f t="shared" si="2"/>
        <v>21.745000000000001</v>
      </c>
      <c r="P26" s="465"/>
      <c r="Q26" s="465">
        <f t="shared" si="3"/>
        <v>0</v>
      </c>
      <c r="R26" s="466"/>
      <c r="S26" s="466">
        <f t="shared" si="0"/>
        <v>0</v>
      </c>
      <c r="T26" s="467" t="str">
        <f t="shared" si="4"/>
        <v>Ok</v>
      </c>
      <c r="W26" s="490"/>
    </row>
    <row r="27" spans="1:23" ht="35.25" customHeight="1">
      <c r="B27" s="471">
        <f t="shared" si="5"/>
        <v>24</v>
      </c>
      <c r="C27" s="762" t="s">
        <v>1127</v>
      </c>
      <c r="D27" s="471" t="s">
        <v>889</v>
      </c>
      <c r="E27" s="463">
        <v>20</v>
      </c>
      <c r="F27" s="468">
        <v>3.99</v>
      </c>
      <c r="G27" s="613">
        <v>10.83</v>
      </c>
      <c r="H27" s="464">
        <v>8.69</v>
      </c>
      <c r="I27" s="613">
        <v>8.5</v>
      </c>
      <c r="J27" s="613">
        <v>2.99</v>
      </c>
      <c r="K27" s="613">
        <v>9.49</v>
      </c>
      <c r="L27" s="464"/>
      <c r="M27" s="613"/>
      <c r="N27" s="464">
        <f t="shared" si="1"/>
        <v>7.415</v>
      </c>
      <c r="O27" s="464">
        <f t="shared" si="2"/>
        <v>8.5949999999999989</v>
      </c>
      <c r="P27" s="465"/>
      <c r="Q27" s="465">
        <f t="shared" si="3"/>
        <v>0</v>
      </c>
      <c r="R27" s="466"/>
      <c r="S27" s="466">
        <f t="shared" si="0"/>
        <v>0</v>
      </c>
      <c r="T27" s="467" t="str">
        <f t="shared" si="4"/>
        <v>Ok</v>
      </c>
      <c r="W27" s="490"/>
    </row>
    <row r="28" spans="1:23" ht="35.25" customHeight="1">
      <c r="B28" s="471">
        <f t="shared" si="5"/>
        <v>25</v>
      </c>
      <c r="C28" s="762" t="s">
        <v>1262</v>
      </c>
      <c r="D28" s="471" t="s">
        <v>889</v>
      </c>
      <c r="E28" s="463">
        <v>20</v>
      </c>
      <c r="F28" s="468">
        <v>4.05</v>
      </c>
      <c r="G28" s="613">
        <v>14.99</v>
      </c>
      <c r="H28" s="464">
        <v>8.9499999999999993</v>
      </c>
      <c r="I28" s="613">
        <v>10.5</v>
      </c>
      <c r="J28" s="613">
        <v>7.99</v>
      </c>
      <c r="K28" s="613">
        <v>7.49</v>
      </c>
      <c r="L28" s="464"/>
      <c r="M28" s="613"/>
      <c r="N28" s="464">
        <f t="shared" si="1"/>
        <v>8.9949999999999992</v>
      </c>
      <c r="O28" s="464">
        <f t="shared" si="2"/>
        <v>8.4699999999999989</v>
      </c>
      <c r="P28" s="465"/>
      <c r="Q28" s="465">
        <f t="shared" si="3"/>
        <v>0</v>
      </c>
      <c r="R28" s="466"/>
      <c r="S28" s="466">
        <f t="shared" si="0"/>
        <v>0</v>
      </c>
      <c r="T28" s="467" t="str">
        <f t="shared" si="4"/>
        <v>Ok</v>
      </c>
      <c r="W28" s="490"/>
    </row>
    <row r="29" spans="1:23" ht="35.25" customHeight="1">
      <c r="B29" s="471">
        <f t="shared" si="5"/>
        <v>26</v>
      </c>
      <c r="C29" s="762" t="s">
        <v>1340</v>
      </c>
      <c r="D29" s="471" t="s">
        <v>1118</v>
      </c>
      <c r="E29" s="463">
        <v>16</v>
      </c>
      <c r="F29" s="468">
        <v>13.5</v>
      </c>
      <c r="G29" s="613">
        <v>42.99</v>
      </c>
      <c r="H29" s="464">
        <v>19.920000000000002</v>
      </c>
      <c r="I29" s="613">
        <v>53.99</v>
      </c>
      <c r="J29" s="613">
        <v>13.9</v>
      </c>
      <c r="K29" s="613">
        <v>32.99</v>
      </c>
      <c r="L29" s="464"/>
      <c r="M29" s="613"/>
      <c r="N29" s="464">
        <f t="shared" si="1"/>
        <v>29.548333333333336</v>
      </c>
      <c r="O29" s="464">
        <f t="shared" si="2"/>
        <v>26.455000000000002</v>
      </c>
      <c r="P29" s="465"/>
      <c r="Q29" s="465">
        <f t="shared" si="3"/>
        <v>0</v>
      </c>
      <c r="R29" s="466"/>
      <c r="S29" s="466">
        <f t="shared" si="0"/>
        <v>0</v>
      </c>
      <c r="T29" s="467" t="str">
        <f t="shared" si="4"/>
        <v>Ok</v>
      </c>
      <c r="W29" s="490"/>
    </row>
    <row r="30" spans="1:23" ht="35.25" customHeight="1">
      <c r="B30" s="471">
        <f t="shared" si="5"/>
        <v>27</v>
      </c>
      <c r="C30" s="762" t="s">
        <v>1128</v>
      </c>
      <c r="D30" s="471" t="s">
        <v>1129</v>
      </c>
      <c r="E30" s="463">
        <v>50</v>
      </c>
      <c r="F30" s="468">
        <v>14.54</v>
      </c>
      <c r="G30" s="613">
        <v>58.9</v>
      </c>
      <c r="H30" s="464">
        <v>180</v>
      </c>
      <c r="I30" s="613">
        <v>16.989999999999998</v>
      </c>
      <c r="J30" s="613">
        <v>25.9</v>
      </c>
      <c r="K30" s="613">
        <v>11.6</v>
      </c>
      <c r="L30" s="464"/>
      <c r="M30" s="613"/>
      <c r="N30" s="464">
        <f t="shared" si="1"/>
        <v>51.321666666666665</v>
      </c>
      <c r="O30" s="464">
        <f t="shared" si="2"/>
        <v>21.445</v>
      </c>
      <c r="P30" s="465"/>
      <c r="Q30" s="465">
        <f t="shared" si="3"/>
        <v>0</v>
      </c>
      <c r="R30" s="466"/>
      <c r="S30" s="466">
        <f t="shared" si="0"/>
        <v>0</v>
      </c>
      <c r="T30" s="467" t="str">
        <f t="shared" si="4"/>
        <v>Ok</v>
      </c>
      <c r="W30" s="490"/>
    </row>
    <row r="31" spans="1:23" ht="20.25" customHeight="1">
      <c r="B31" s="471">
        <f t="shared" si="5"/>
        <v>28</v>
      </c>
      <c r="C31" s="762" t="s">
        <v>1130</v>
      </c>
      <c r="D31" s="471" t="s">
        <v>1131</v>
      </c>
      <c r="E31" s="463">
        <v>2</v>
      </c>
      <c r="F31" s="468">
        <v>218.16</v>
      </c>
      <c r="G31" s="613">
        <v>789.65</v>
      </c>
      <c r="H31" s="464">
        <v>97.8</v>
      </c>
      <c r="I31" s="613"/>
      <c r="J31" s="613">
        <v>14.19</v>
      </c>
      <c r="K31" s="613"/>
      <c r="L31" s="464"/>
      <c r="M31" s="613"/>
      <c r="N31" s="464">
        <f t="shared" si="1"/>
        <v>279.95</v>
      </c>
      <c r="O31" s="464">
        <f t="shared" si="2"/>
        <v>157.97999999999999</v>
      </c>
      <c r="P31" s="465"/>
      <c r="Q31" s="465">
        <f t="shared" si="3"/>
        <v>0</v>
      </c>
      <c r="R31" s="466"/>
      <c r="S31" s="466">
        <f t="shared" si="0"/>
        <v>0</v>
      </c>
      <c r="T31" s="467" t="str">
        <f t="shared" si="4"/>
        <v>Ok</v>
      </c>
      <c r="W31" s="490"/>
    </row>
    <row r="32" spans="1:23" ht="20.25" customHeight="1">
      <c r="B32" s="471">
        <f t="shared" si="5"/>
        <v>29</v>
      </c>
      <c r="C32" s="762" t="s">
        <v>1132</v>
      </c>
      <c r="D32" s="471" t="s">
        <v>1131</v>
      </c>
      <c r="E32" s="463">
        <v>2</v>
      </c>
      <c r="F32" s="468">
        <v>399.95</v>
      </c>
      <c r="G32" s="613">
        <v>750.62</v>
      </c>
      <c r="H32" s="464">
        <v>260</v>
      </c>
      <c r="I32" s="613"/>
      <c r="J32" s="613"/>
      <c r="K32" s="613"/>
      <c r="L32" s="464"/>
      <c r="M32" s="613">
        <v>69.069999999999993</v>
      </c>
      <c r="N32" s="464">
        <f t="shared" si="1"/>
        <v>369.90999999999997</v>
      </c>
      <c r="O32" s="464">
        <f t="shared" si="2"/>
        <v>329.97500000000002</v>
      </c>
      <c r="P32" s="465"/>
      <c r="Q32" s="465">
        <f t="shared" si="3"/>
        <v>0</v>
      </c>
      <c r="R32" s="466"/>
      <c r="S32" s="466">
        <f t="shared" si="0"/>
        <v>0</v>
      </c>
      <c r="T32" s="467" t="str">
        <f t="shared" si="4"/>
        <v>Ok</v>
      </c>
      <c r="W32" s="490"/>
    </row>
    <row r="33" spans="2:23" ht="40.5" customHeight="1">
      <c r="B33" s="471">
        <f t="shared" si="5"/>
        <v>30</v>
      </c>
      <c r="C33" s="762" t="s">
        <v>1341</v>
      </c>
      <c r="D33" s="471" t="s">
        <v>889</v>
      </c>
      <c r="E33" s="463">
        <v>40</v>
      </c>
      <c r="F33" s="468">
        <v>6.23</v>
      </c>
      <c r="G33" s="613">
        <v>16.89</v>
      </c>
      <c r="H33" s="464">
        <v>12</v>
      </c>
      <c r="I33" s="613">
        <v>8.49</v>
      </c>
      <c r="J33" s="613">
        <v>7.79</v>
      </c>
      <c r="K33" s="613">
        <v>8.7899999999999991</v>
      </c>
      <c r="L33" s="464"/>
      <c r="M33" s="613"/>
      <c r="N33" s="464">
        <f t="shared" si="1"/>
        <v>10.031666666666668</v>
      </c>
      <c r="O33" s="464">
        <f t="shared" si="2"/>
        <v>8.64</v>
      </c>
      <c r="P33" s="465"/>
      <c r="Q33" s="465">
        <f t="shared" si="3"/>
        <v>0</v>
      </c>
      <c r="R33" s="466"/>
      <c r="S33" s="466">
        <f t="shared" si="0"/>
        <v>0</v>
      </c>
      <c r="T33" s="467" t="str">
        <f t="shared" si="4"/>
        <v>Ok</v>
      </c>
      <c r="W33" s="490"/>
    </row>
    <row r="34" spans="2:23" ht="40.5" customHeight="1">
      <c r="B34" s="471">
        <f t="shared" si="5"/>
        <v>31</v>
      </c>
      <c r="C34" s="762" t="s">
        <v>1342</v>
      </c>
      <c r="D34" s="471" t="s">
        <v>889</v>
      </c>
      <c r="E34" s="463">
        <v>30</v>
      </c>
      <c r="F34" s="468">
        <v>2.29</v>
      </c>
      <c r="G34" s="613">
        <v>9.1199999999999992</v>
      </c>
      <c r="H34" s="464">
        <v>6.9</v>
      </c>
      <c r="I34" s="613">
        <v>3.49</v>
      </c>
      <c r="J34" s="613">
        <v>2.59</v>
      </c>
      <c r="K34" s="613">
        <v>2.89</v>
      </c>
      <c r="L34" s="464"/>
      <c r="M34" s="613"/>
      <c r="N34" s="464">
        <f t="shared" si="1"/>
        <v>4.5466666666666677</v>
      </c>
      <c r="O34" s="464">
        <f t="shared" si="2"/>
        <v>3.1900000000000004</v>
      </c>
      <c r="P34" s="465"/>
      <c r="Q34" s="465">
        <f t="shared" si="3"/>
        <v>0</v>
      </c>
      <c r="R34" s="466"/>
      <c r="S34" s="466">
        <f t="shared" si="0"/>
        <v>0</v>
      </c>
      <c r="T34" s="467" t="str">
        <f t="shared" si="4"/>
        <v>Ok</v>
      </c>
      <c r="W34" s="490"/>
    </row>
    <row r="35" spans="2:23" ht="40.5" customHeight="1">
      <c r="B35" s="471">
        <f t="shared" si="5"/>
        <v>32</v>
      </c>
      <c r="C35" s="762" t="s">
        <v>1343</v>
      </c>
      <c r="D35" s="471" t="s">
        <v>889</v>
      </c>
      <c r="E35" s="463">
        <v>40</v>
      </c>
      <c r="F35" s="468">
        <v>5.91</v>
      </c>
      <c r="G35" s="613">
        <v>15.78</v>
      </c>
      <c r="H35" s="464">
        <v>10.9</v>
      </c>
      <c r="I35" s="613">
        <v>7.99</v>
      </c>
      <c r="J35" s="613">
        <v>6.79</v>
      </c>
      <c r="K35" s="613">
        <v>5.99</v>
      </c>
      <c r="L35" s="464"/>
      <c r="M35" s="613"/>
      <c r="N35" s="464">
        <f t="shared" si="1"/>
        <v>8.8933333333333326</v>
      </c>
      <c r="O35" s="464">
        <f t="shared" si="2"/>
        <v>7.3900000000000006</v>
      </c>
      <c r="P35" s="465"/>
      <c r="Q35" s="465">
        <f t="shared" si="3"/>
        <v>0</v>
      </c>
      <c r="R35" s="466"/>
      <c r="S35" s="466">
        <f t="shared" si="0"/>
        <v>0</v>
      </c>
      <c r="T35" s="467" t="str">
        <f t="shared" si="4"/>
        <v>Ok</v>
      </c>
      <c r="W35" s="490"/>
    </row>
    <row r="36" spans="2:23" ht="40.5" customHeight="1">
      <c r="B36" s="471">
        <f t="shared" si="5"/>
        <v>33</v>
      </c>
      <c r="C36" s="762" t="s">
        <v>1344</v>
      </c>
      <c r="D36" s="471" t="s">
        <v>889</v>
      </c>
      <c r="E36" s="463">
        <v>30</v>
      </c>
      <c r="F36" s="468">
        <v>2.29</v>
      </c>
      <c r="G36" s="613">
        <v>8.8800000000000008</v>
      </c>
      <c r="H36" s="464">
        <v>5.56</v>
      </c>
      <c r="I36" s="613">
        <v>2.59</v>
      </c>
      <c r="J36" s="613">
        <v>2.69</v>
      </c>
      <c r="K36" s="613">
        <v>2.59</v>
      </c>
      <c r="L36" s="464"/>
      <c r="M36" s="613"/>
      <c r="N36" s="464">
        <f t="shared" si="1"/>
        <v>4.1000000000000005</v>
      </c>
      <c r="O36" s="464">
        <f t="shared" si="2"/>
        <v>2.6399999999999997</v>
      </c>
      <c r="P36" s="465"/>
      <c r="Q36" s="465">
        <f t="shared" si="3"/>
        <v>0</v>
      </c>
      <c r="R36" s="466"/>
      <c r="S36" s="466">
        <f t="shared" si="0"/>
        <v>0</v>
      </c>
      <c r="T36" s="467" t="str">
        <f t="shared" si="4"/>
        <v>Ok</v>
      </c>
      <c r="W36" s="490"/>
    </row>
    <row r="37" spans="2:23" ht="40.5" customHeight="1">
      <c r="B37" s="471">
        <f t="shared" si="5"/>
        <v>34</v>
      </c>
      <c r="C37" s="762" t="s">
        <v>1345</v>
      </c>
      <c r="D37" s="471" t="s">
        <v>1118</v>
      </c>
      <c r="E37" s="463">
        <v>7</v>
      </c>
      <c r="F37" s="468">
        <v>5.26</v>
      </c>
      <c r="G37" s="613">
        <v>20</v>
      </c>
      <c r="H37" s="464">
        <v>19.5</v>
      </c>
      <c r="I37" s="613">
        <v>11.99</v>
      </c>
      <c r="J37" s="613">
        <v>5.9</v>
      </c>
      <c r="K37" s="613">
        <v>18.29</v>
      </c>
      <c r="L37" s="464"/>
      <c r="M37" s="613"/>
      <c r="N37" s="464">
        <f t="shared" si="1"/>
        <v>13.49</v>
      </c>
      <c r="O37" s="464">
        <f t="shared" si="2"/>
        <v>15.14</v>
      </c>
      <c r="P37" s="465"/>
      <c r="Q37" s="465">
        <f t="shared" si="3"/>
        <v>0</v>
      </c>
      <c r="R37" s="466"/>
      <c r="S37" s="466">
        <f t="shared" si="0"/>
        <v>0</v>
      </c>
      <c r="T37" s="467" t="str">
        <f t="shared" si="4"/>
        <v>Ok</v>
      </c>
      <c r="W37" s="490"/>
    </row>
    <row r="38" spans="2:23" ht="40.5" customHeight="1">
      <c r="B38" s="471">
        <f t="shared" si="5"/>
        <v>35</v>
      </c>
      <c r="C38" s="762" t="s">
        <v>1346</v>
      </c>
      <c r="D38" s="471" t="s">
        <v>1118</v>
      </c>
      <c r="E38" s="463">
        <v>14</v>
      </c>
      <c r="F38" s="468">
        <v>5.55</v>
      </c>
      <c r="G38" s="613">
        <v>15.8</v>
      </c>
      <c r="H38" s="464">
        <v>22</v>
      </c>
      <c r="I38" s="613">
        <v>11.99</v>
      </c>
      <c r="J38" s="613">
        <v>13.45</v>
      </c>
      <c r="K38" s="613">
        <v>11.99</v>
      </c>
      <c r="L38" s="464"/>
      <c r="M38" s="613"/>
      <c r="N38" s="464">
        <f t="shared" si="1"/>
        <v>13.463333333333333</v>
      </c>
      <c r="O38" s="464">
        <f t="shared" si="2"/>
        <v>12.719999999999999</v>
      </c>
      <c r="P38" s="465"/>
      <c r="Q38" s="465">
        <f t="shared" si="3"/>
        <v>0</v>
      </c>
      <c r="R38" s="466"/>
      <c r="S38" s="466">
        <f t="shared" si="0"/>
        <v>0</v>
      </c>
      <c r="T38" s="467" t="str">
        <f t="shared" si="4"/>
        <v>Ok</v>
      </c>
      <c r="W38" s="490"/>
    </row>
    <row r="39" spans="2:23" ht="40.5" customHeight="1">
      <c r="B39" s="471">
        <f t="shared" si="5"/>
        <v>36</v>
      </c>
      <c r="C39" s="762" t="s">
        <v>1347</v>
      </c>
      <c r="D39" s="471" t="s">
        <v>889</v>
      </c>
      <c r="E39" s="463">
        <v>5</v>
      </c>
      <c r="F39" s="468">
        <v>4.72</v>
      </c>
      <c r="G39" s="613">
        <v>20.89</v>
      </c>
      <c r="H39" s="464">
        <v>26.9</v>
      </c>
      <c r="I39" s="613"/>
      <c r="J39" s="613">
        <v>8.4499999999999993</v>
      </c>
      <c r="K39" s="613">
        <v>18.989999999999998</v>
      </c>
      <c r="L39" s="464"/>
      <c r="M39" s="613"/>
      <c r="N39" s="464">
        <f t="shared" si="1"/>
        <v>15.989999999999998</v>
      </c>
      <c r="O39" s="464">
        <f t="shared" si="2"/>
        <v>18.989999999999998</v>
      </c>
      <c r="P39" s="465"/>
      <c r="Q39" s="465">
        <f t="shared" si="3"/>
        <v>0</v>
      </c>
      <c r="R39" s="466"/>
      <c r="S39" s="466">
        <f t="shared" si="0"/>
        <v>0</v>
      </c>
      <c r="T39" s="467" t="str">
        <f t="shared" si="4"/>
        <v>Ok</v>
      </c>
      <c r="W39" s="490"/>
    </row>
    <row r="40" spans="2:23" ht="40.5" customHeight="1">
      <c r="B40" s="471">
        <f t="shared" si="5"/>
        <v>37</v>
      </c>
      <c r="C40" s="762" t="s">
        <v>1348</v>
      </c>
      <c r="D40" s="471" t="s">
        <v>1119</v>
      </c>
      <c r="E40" s="463">
        <v>60</v>
      </c>
      <c r="F40" s="468">
        <v>4.5199999999999996</v>
      </c>
      <c r="G40" s="613">
        <v>20.99</v>
      </c>
      <c r="H40" s="464">
        <v>9.8000000000000007</v>
      </c>
      <c r="I40" s="613">
        <v>8.99</v>
      </c>
      <c r="J40" s="613">
        <v>5.99</v>
      </c>
      <c r="K40" s="613">
        <v>6.99</v>
      </c>
      <c r="L40" s="464"/>
      <c r="M40" s="613"/>
      <c r="N40" s="464">
        <f t="shared" si="1"/>
        <v>9.5466666666666686</v>
      </c>
      <c r="O40" s="464">
        <f t="shared" si="2"/>
        <v>7.99</v>
      </c>
      <c r="P40" s="465"/>
      <c r="Q40" s="465">
        <f t="shared" si="3"/>
        <v>0</v>
      </c>
      <c r="R40" s="466"/>
      <c r="S40" s="466">
        <f t="shared" si="0"/>
        <v>0</v>
      </c>
      <c r="T40" s="467" t="str">
        <f t="shared" si="4"/>
        <v>Ok</v>
      </c>
      <c r="W40" s="490"/>
    </row>
    <row r="41" spans="2:23" ht="20.25" customHeight="1">
      <c r="B41" s="471">
        <f t="shared" si="5"/>
        <v>38</v>
      </c>
      <c r="C41" s="762" t="s">
        <v>1133</v>
      </c>
      <c r="D41" s="471" t="s">
        <v>1131</v>
      </c>
      <c r="E41" s="463">
        <v>3</v>
      </c>
      <c r="F41" s="468">
        <v>270.10000000000002</v>
      </c>
      <c r="G41" s="613">
        <v>78.66</v>
      </c>
      <c r="H41" s="464">
        <v>12.9</v>
      </c>
      <c r="I41" s="613"/>
      <c r="J41" s="613"/>
      <c r="K41" s="613"/>
      <c r="L41" s="464"/>
      <c r="M41" s="613">
        <v>40.380000000000003</v>
      </c>
      <c r="N41" s="464">
        <f t="shared" si="1"/>
        <v>100.50999999999999</v>
      </c>
      <c r="O41" s="464">
        <f t="shared" si="2"/>
        <v>59.519999999999996</v>
      </c>
      <c r="P41" s="465"/>
      <c r="Q41" s="465">
        <f t="shared" si="3"/>
        <v>0</v>
      </c>
      <c r="R41" s="466"/>
      <c r="S41" s="466">
        <f t="shared" si="0"/>
        <v>0</v>
      </c>
      <c r="T41" s="467" t="str">
        <f t="shared" si="4"/>
        <v>Ok</v>
      </c>
      <c r="W41" s="490"/>
    </row>
    <row r="42" spans="2:23" ht="20.25" customHeight="1">
      <c r="B42" s="471">
        <f t="shared" si="5"/>
        <v>39</v>
      </c>
      <c r="C42" s="762" t="s">
        <v>1134</v>
      </c>
      <c r="D42" s="471" t="s">
        <v>1131</v>
      </c>
      <c r="E42" s="463">
        <v>2</v>
      </c>
      <c r="F42" s="468">
        <v>477.87</v>
      </c>
      <c r="G42" s="613">
        <v>88.24</v>
      </c>
      <c r="H42" s="464">
        <v>13.99</v>
      </c>
      <c r="I42" s="613"/>
      <c r="J42" s="613"/>
      <c r="K42" s="613"/>
      <c r="L42" s="464">
        <v>44.42</v>
      </c>
      <c r="M42" s="613"/>
      <c r="N42" s="464">
        <f t="shared" si="1"/>
        <v>156.13</v>
      </c>
      <c r="O42" s="464">
        <f t="shared" si="2"/>
        <v>66.33</v>
      </c>
      <c r="P42" s="465"/>
      <c r="Q42" s="465">
        <f t="shared" si="3"/>
        <v>0</v>
      </c>
      <c r="R42" s="466"/>
      <c r="S42" s="466">
        <f t="shared" si="0"/>
        <v>0</v>
      </c>
      <c r="T42" s="467" t="str">
        <f t="shared" si="4"/>
        <v>Ok</v>
      </c>
      <c r="W42" s="490"/>
    </row>
    <row r="43" spans="2:23" ht="20.25" customHeight="1">
      <c r="B43" s="471">
        <f t="shared" si="5"/>
        <v>40</v>
      </c>
      <c r="C43" s="762" t="s">
        <v>1135</v>
      </c>
      <c r="D43" s="471" t="s">
        <v>889</v>
      </c>
      <c r="E43" s="463">
        <v>2</v>
      </c>
      <c r="F43" s="468">
        <v>0</v>
      </c>
      <c r="G43" s="613">
        <v>142.63</v>
      </c>
      <c r="H43" s="464">
        <v>96</v>
      </c>
      <c r="I43" s="613"/>
      <c r="J43" s="613"/>
      <c r="K43" s="613"/>
      <c r="L43" s="464">
        <v>70.33</v>
      </c>
      <c r="M43" s="613">
        <v>50.26</v>
      </c>
      <c r="N43" s="464">
        <f t="shared" si="1"/>
        <v>71.843999999999994</v>
      </c>
      <c r="O43" s="464">
        <f t="shared" si="2"/>
        <v>70.33</v>
      </c>
      <c r="P43" s="465"/>
      <c r="Q43" s="465">
        <f t="shared" si="3"/>
        <v>0</v>
      </c>
      <c r="R43" s="466"/>
      <c r="S43" s="466">
        <f t="shared" si="0"/>
        <v>0</v>
      </c>
      <c r="T43" s="467" t="str">
        <f t="shared" si="4"/>
        <v>Ok</v>
      </c>
      <c r="W43" s="490"/>
    </row>
    <row r="44" spans="2:23" ht="20.25" customHeight="1">
      <c r="B44" s="471">
        <f t="shared" si="5"/>
        <v>41</v>
      </c>
      <c r="C44" s="762" t="s">
        <v>1136</v>
      </c>
      <c r="D44" s="471" t="s">
        <v>889</v>
      </c>
      <c r="E44" s="463">
        <v>2</v>
      </c>
      <c r="F44" s="468">
        <v>0</v>
      </c>
      <c r="G44" s="613">
        <v>125.63</v>
      </c>
      <c r="H44" s="464">
        <v>25.96</v>
      </c>
      <c r="I44" s="613"/>
      <c r="J44" s="613"/>
      <c r="K44" s="613"/>
      <c r="L44" s="464">
        <v>33.520000000000003</v>
      </c>
      <c r="M44" s="613">
        <v>50.83</v>
      </c>
      <c r="N44" s="464">
        <f t="shared" si="1"/>
        <v>47.188000000000002</v>
      </c>
      <c r="O44" s="464">
        <f t="shared" si="2"/>
        <v>33.520000000000003</v>
      </c>
      <c r="P44" s="465"/>
      <c r="Q44" s="465">
        <f t="shared" si="3"/>
        <v>0</v>
      </c>
      <c r="R44" s="466"/>
      <c r="S44" s="466">
        <f t="shared" si="0"/>
        <v>0</v>
      </c>
      <c r="T44" s="467" t="str">
        <f t="shared" si="4"/>
        <v>Ok</v>
      </c>
      <c r="W44" s="490"/>
    </row>
    <row r="45" spans="2:23" ht="20.25" customHeight="1">
      <c r="B45" s="471">
        <f t="shared" si="5"/>
        <v>42</v>
      </c>
      <c r="C45" s="762" t="s">
        <v>1137</v>
      </c>
      <c r="D45" s="471" t="s">
        <v>889</v>
      </c>
      <c r="E45" s="463">
        <v>2</v>
      </c>
      <c r="F45" s="468">
        <v>0</v>
      </c>
      <c r="G45" s="613">
        <v>250.49</v>
      </c>
      <c r="H45" s="464">
        <v>253</v>
      </c>
      <c r="I45" s="613">
        <v>186.99</v>
      </c>
      <c r="J45" s="613">
        <v>79.900000000000006</v>
      </c>
      <c r="K45" s="613"/>
      <c r="L45" s="464">
        <v>192.21</v>
      </c>
      <c r="M45" s="613">
        <v>134.9</v>
      </c>
      <c r="N45" s="464">
        <f t="shared" si="1"/>
        <v>156.78428571428572</v>
      </c>
      <c r="O45" s="464">
        <f t="shared" si="2"/>
        <v>186.99</v>
      </c>
      <c r="P45" s="465"/>
      <c r="Q45" s="465">
        <f t="shared" si="3"/>
        <v>0</v>
      </c>
      <c r="R45" s="466"/>
      <c r="S45" s="466">
        <f t="shared" si="0"/>
        <v>0</v>
      </c>
      <c r="T45" s="467" t="str">
        <f t="shared" si="4"/>
        <v>Ok</v>
      </c>
      <c r="W45" s="490"/>
    </row>
    <row r="46" spans="2:23" ht="20.25" customHeight="1">
      <c r="B46" s="471">
        <f t="shared" si="5"/>
        <v>43</v>
      </c>
      <c r="C46" s="762" t="s">
        <v>1138</v>
      </c>
      <c r="D46" s="471" t="s">
        <v>889</v>
      </c>
      <c r="E46" s="463">
        <v>2</v>
      </c>
      <c r="F46" s="468">
        <v>0</v>
      </c>
      <c r="G46" s="613">
        <v>75.8</v>
      </c>
      <c r="H46" s="464">
        <v>5</v>
      </c>
      <c r="I46" s="613"/>
      <c r="J46" s="613"/>
      <c r="K46" s="613"/>
      <c r="L46" s="464">
        <v>8.75</v>
      </c>
      <c r="M46" s="613">
        <v>51.68</v>
      </c>
      <c r="N46" s="464">
        <f t="shared" si="1"/>
        <v>28.245999999999999</v>
      </c>
      <c r="O46" s="464">
        <f t="shared" si="2"/>
        <v>8.75</v>
      </c>
      <c r="P46" s="465"/>
      <c r="Q46" s="465">
        <f t="shared" si="3"/>
        <v>0</v>
      </c>
      <c r="R46" s="466"/>
      <c r="S46" s="466">
        <f t="shared" si="0"/>
        <v>0</v>
      </c>
      <c r="T46" s="467" t="str">
        <f t="shared" si="4"/>
        <v>Ok</v>
      </c>
      <c r="W46" s="490"/>
    </row>
    <row r="47" spans="2:23" ht="20.25" customHeight="1">
      <c r="B47" s="471">
        <f t="shared" si="5"/>
        <v>44</v>
      </c>
      <c r="C47" s="762" t="s">
        <v>1139</v>
      </c>
      <c r="D47" s="471" t="s">
        <v>889</v>
      </c>
      <c r="E47" s="463">
        <v>2</v>
      </c>
      <c r="F47" s="468">
        <v>0</v>
      </c>
      <c r="G47" s="613">
        <v>21.6</v>
      </c>
      <c r="H47" s="464">
        <v>5.9</v>
      </c>
      <c r="I47" s="613">
        <v>11.99</v>
      </c>
      <c r="J47" s="613"/>
      <c r="K47" s="613"/>
      <c r="L47" s="464">
        <v>5.59</v>
      </c>
      <c r="M47" s="613">
        <v>15.87</v>
      </c>
      <c r="N47" s="464">
        <f t="shared" si="1"/>
        <v>10.158333333333333</v>
      </c>
      <c r="O47" s="464">
        <f t="shared" si="2"/>
        <v>8.9450000000000003</v>
      </c>
      <c r="P47" s="465"/>
      <c r="Q47" s="465">
        <f t="shared" si="3"/>
        <v>0</v>
      </c>
      <c r="R47" s="466"/>
      <c r="S47" s="466">
        <f t="shared" si="0"/>
        <v>0</v>
      </c>
      <c r="T47" s="467" t="str">
        <f t="shared" si="4"/>
        <v>Ok</v>
      </c>
      <c r="W47" s="490"/>
    </row>
    <row r="48" spans="2:23" ht="20.25" customHeight="1">
      <c r="B48" s="471">
        <v>45</v>
      </c>
      <c r="C48" s="762" t="s">
        <v>1263</v>
      </c>
      <c r="D48" s="471" t="s">
        <v>897</v>
      </c>
      <c r="E48" s="463">
        <v>2</v>
      </c>
      <c r="F48" s="468"/>
      <c r="G48" s="613">
        <v>246.31</v>
      </c>
      <c r="H48" s="464">
        <v>150</v>
      </c>
      <c r="I48" s="613"/>
      <c r="J48" s="613"/>
      <c r="K48" s="613"/>
      <c r="L48" s="464"/>
      <c r="M48" s="613">
        <v>89.28</v>
      </c>
      <c r="N48" s="464">
        <f t="shared" si="1"/>
        <v>161.86333333333334</v>
      </c>
      <c r="O48" s="464">
        <f t="shared" si="2"/>
        <v>150</v>
      </c>
      <c r="P48" s="465"/>
      <c r="Q48" s="465">
        <f t="shared" si="3"/>
        <v>0</v>
      </c>
      <c r="R48" s="466"/>
      <c r="S48" s="466">
        <f t="shared" si="0"/>
        <v>0</v>
      </c>
      <c r="T48" s="467" t="str">
        <f t="shared" si="4"/>
        <v>Ok</v>
      </c>
      <c r="W48" s="490"/>
    </row>
    <row r="49" spans="2:27" ht="20.25" customHeight="1">
      <c r="B49" s="471">
        <v>46</v>
      </c>
      <c r="C49" s="762" t="s">
        <v>1264</v>
      </c>
      <c r="D49" s="471" t="s">
        <v>897</v>
      </c>
      <c r="E49" s="463">
        <v>2</v>
      </c>
      <c r="F49" s="468"/>
      <c r="G49" s="613">
        <v>193.9</v>
      </c>
      <c r="H49" s="464">
        <v>150</v>
      </c>
      <c r="I49" s="613"/>
      <c r="J49" s="613"/>
      <c r="K49" s="613"/>
      <c r="L49" s="464"/>
      <c r="M49" s="613">
        <v>229.52</v>
      </c>
      <c r="N49" s="464">
        <f t="shared" si="1"/>
        <v>191.14</v>
      </c>
      <c r="O49" s="464">
        <f t="shared" si="2"/>
        <v>193.9</v>
      </c>
      <c r="P49" s="465"/>
      <c r="Q49" s="465">
        <f t="shared" si="3"/>
        <v>0</v>
      </c>
      <c r="R49" s="466"/>
      <c r="S49" s="466">
        <f t="shared" si="0"/>
        <v>0</v>
      </c>
      <c r="T49" s="467" t="str">
        <f t="shared" si="4"/>
        <v>Ok</v>
      </c>
      <c r="W49" s="490"/>
    </row>
    <row r="50" spans="2:27" ht="19.5" customHeight="1">
      <c r="B50" s="829" t="s">
        <v>1140</v>
      </c>
      <c r="C50" s="830"/>
      <c r="D50" s="830"/>
      <c r="E50" s="830"/>
      <c r="F50" s="469"/>
      <c r="G50" s="469"/>
      <c r="H50" s="469"/>
      <c r="I50" s="469"/>
      <c r="J50" s="469"/>
      <c r="K50" s="469"/>
      <c r="L50" s="469"/>
      <c r="M50" s="469"/>
      <c r="N50" s="469"/>
      <c r="O50" s="472"/>
      <c r="P50" s="470"/>
      <c r="Q50" s="473">
        <f>SUM(Q4:Q49)</f>
        <v>0</v>
      </c>
      <c r="R50" s="470"/>
      <c r="S50" s="473">
        <f>SUM(S4:S49)</f>
        <v>0</v>
      </c>
    </row>
    <row r="51" spans="2:27">
      <c r="W51" s="490"/>
    </row>
    <row r="52" spans="2:27">
      <c r="G52" s="490"/>
      <c r="H52" s="490"/>
      <c r="I52" s="490"/>
    </row>
    <row r="53" spans="2:27" ht="25.5" customHeight="1">
      <c r="V53" s="765" t="s">
        <v>48</v>
      </c>
      <c r="W53" s="759"/>
      <c r="X53" s="759"/>
      <c r="Y53" s="759"/>
      <c r="Z53" s="760"/>
      <c r="AA53" s="760"/>
    </row>
    <row r="54" spans="2:27" ht="130.5" customHeight="1">
      <c r="V54" s="761">
        <v>1</v>
      </c>
      <c r="W54" s="825" t="s">
        <v>1322</v>
      </c>
      <c r="X54" s="825"/>
      <c r="Y54" s="825"/>
      <c r="Z54" s="825"/>
      <c r="AA54" s="825"/>
    </row>
    <row r="55" spans="2:27" ht="99.75" customHeight="1">
      <c r="V55" s="761">
        <f>V54+1</f>
        <v>2</v>
      </c>
      <c r="W55" s="825" t="s">
        <v>1323</v>
      </c>
      <c r="X55" s="825"/>
      <c r="Y55" s="825"/>
      <c r="Z55" s="825"/>
      <c r="AA55" s="825"/>
    </row>
    <row r="56" spans="2:27" ht="135.75" customHeight="1">
      <c r="V56" s="761">
        <f t="shared" ref="V56:V58" si="6">V55+1</f>
        <v>3</v>
      </c>
      <c r="W56" s="825" t="s">
        <v>1324</v>
      </c>
      <c r="X56" s="825"/>
      <c r="Y56" s="825"/>
      <c r="Z56" s="825"/>
      <c r="AA56" s="825"/>
    </row>
    <row r="57" spans="2:27" ht="75.75" customHeight="1">
      <c r="V57" s="761">
        <f t="shared" si="6"/>
        <v>4</v>
      </c>
      <c r="W57" s="826" t="s">
        <v>1326</v>
      </c>
      <c r="X57" s="827"/>
      <c r="Y57" s="827"/>
      <c r="Z57" s="827"/>
      <c r="AA57" s="828"/>
    </row>
    <row r="58" spans="2:27" ht="106.5" customHeight="1">
      <c r="V58" s="761">
        <f t="shared" si="6"/>
        <v>5</v>
      </c>
      <c r="W58" s="825" t="s">
        <v>1325</v>
      </c>
      <c r="X58" s="825"/>
      <c r="Y58" s="825"/>
      <c r="Z58" s="825"/>
      <c r="AA58" s="825"/>
    </row>
    <row r="62" spans="2:27" ht="57" customHeight="1"/>
    <row r="70" spans="2:13" ht="15.75">
      <c r="B70" s="616"/>
      <c r="C70" s="617"/>
      <c r="D70" s="616"/>
      <c r="E70" s="617"/>
      <c r="F70" s="618"/>
      <c r="G70" s="618"/>
      <c r="H70" s="618"/>
      <c r="I70" s="618"/>
      <c r="J70" s="618"/>
      <c r="K70" s="618"/>
      <c r="L70" s="618"/>
      <c r="M70" s="618"/>
    </row>
    <row r="71" spans="2:13" ht="15.75">
      <c r="B71" s="616"/>
      <c r="C71" s="617"/>
      <c r="D71" s="616"/>
      <c r="E71" s="617"/>
      <c r="F71" s="618"/>
      <c r="G71" s="618"/>
      <c r="H71" s="618"/>
      <c r="I71" s="618"/>
      <c r="J71" s="618"/>
      <c r="K71" s="618"/>
      <c r="L71" s="618"/>
      <c r="M71" s="618"/>
    </row>
    <row r="72" spans="2:13" ht="15.75">
      <c r="B72" s="616"/>
      <c r="C72" s="617"/>
      <c r="D72" s="616"/>
      <c r="E72" s="617"/>
      <c r="F72" s="618"/>
      <c r="G72" s="618"/>
      <c r="H72" s="618"/>
      <c r="I72" s="618"/>
      <c r="J72" s="618"/>
      <c r="K72" s="618"/>
      <c r="L72" s="618"/>
      <c r="M72" s="618"/>
    </row>
    <row r="73" spans="2:13" ht="15.75">
      <c r="B73" s="616"/>
      <c r="C73" s="617"/>
      <c r="D73" s="616"/>
      <c r="E73" s="617"/>
      <c r="F73" s="618"/>
      <c r="G73" s="618"/>
      <c r="H73" s="618"/>
      <c r="I73" s="618"/>
      <c r="J73" s="618"/>
      <c r="K73" s="618"/>
      <c r="L73" s="618"/>
      <c r="M73" s="618"/>
    </row>
    <row r="74" spans="2:13" ht="15.75">
      <c r="B74" s="616"/>
      <c r="C74" s="617"/>
      <c r="D74" s="616"/>
      <c r="E74" s="617"/>
      <c r="F74" s="618"/>
      <c r="G74" s="618"/>
      <c r="H74" s="618"/>
      <c r="I74" s="618"/>
      <c r="J74" s="618"/>
      <c r="K74" s="618"/>
      <c r="L74" s="618"/>
      <c r="M74" s="618"/>
    </row>
    <row r="75" spans="2:13" ht="15.75">
      <c r="B75" s="616"/>
      <c r="C75" s="617"/>
      <c r="D75" s="616"/>
      <c r="E75" s="617"/>
      <c r="F75" s="618"/>
      <c r="G75" s="618"/>
      <c r="H75" s="618"/>
      <c r="I75" s="618"/>
      <c r="J75" s="618"/>
      <c r="K75" s="618"/>
      <c r="L75" s="618"/>
      <c r="M75" s="618"/>
    </row>
    <row r="76" spans="2:13" ht="15.75">
      <c r="B76" s="616"/>
      <c r="C76" s="617"/>
      <c r="D76" s="616"/>
      <c r="E76" s="617"/>
      <c r="F76" s="618"/>
      <c r="G76" s="618"/>
      <c r="H76" s="618"/>
      <c r="I76" s="618"/>
      <c r="J76" s="618"/>
      <c r="K76" s="618"/>
      <c r="L76" s="618"/>
      <c r="M76" s="618"/>
    </row>
    <row r="77" spans="2:13" ht="15.75">
      <c r="B77" s="616"/>
      <c r="C77" s="617"/>
      <c r="D77" s="616"/>
      <c r="E77" s="617"/>
      <c r="F77" s="618"/>
      <c r="G77" s="618"/>
      <c r="H77" s="618"/>
      <c r="I77" s="618"/>
      <c r="J77" s="618"/>
      <c r="K77" s="618"/>
      <c r="L77" s="618"/>
      <c r="M77" s="618"/>
    </row>
    <row r="78" spans="2:13" ht="15.75">
      <c r="B78" s="616"/>
      <c r="C78" s="617"/>
      <c r="D78" s="616"/>
      <c r="E78" s="617"/>
      <c r="F78" s="618"/>
      <c r="G78" s="618"/>
      <c r="H78" s="618"/>
      <c r="I78" s="618"/>
      <c r="J78" s="618"/>
      <c r="K78" s="618"/>
      <c r="L78" s="618"/>
      <c r="M78" s="618"/>
    </row>
    <row r="79" spans="2:13" ht="15.75">
      <c r="B79" s="616"/>
      <c r="C79" s="617"/>
      <c r="D79" s="616"/>
      <c r="E79" s="617"/>
      <c r="F79" s="618"/>
      <c r="G79" s="618"/>
      <c r="H79" s="618"/>
      <c r="I79" s="618"/>
      <c r="J79" s="618"/>
      <c r="K79" s="618"/>
      <c r="L79" s="618"/>
      <c r="M79" s="618"/>
    </row>
    <row r="80" spans="2:13" ht="15.75">
      <c r="B80" s="616"/>
      <c r="C80" s="617"/>
      <c r="D80" s="616"/>
      <c r="E80" s="617"/>
      <c r="F80" s="618"/>
      <c r="G80" s="618"/>
      <c r="H80" s="618"/>
      <c r="I80" s="618"/>
      <c r="J80" s="618"/>
      <c r="K80" s="618"/>
      <c r="L80" s="618"/>
      <c r="M80" s="618"/>
    </row>
    <row r="81" spans="2:13" ht="15.75">
      <c r="B81" s="616"/>
      <c r="C81" s="617"/>
      <c r="D81" s="616"/>
      <c r="E81" s="617"/>
      <c r="F81" s="618"/>
      <c r="G81" s="618"/>
      <c r="H81" s="618"/>
      <c r="I81" s="618"/>
      <c r="J81" s="618"/>
      <c r="K81" s="618"/>
      <c r="L81" s="618"/>
      <c r="M81" s="618"/>
    </row>
    <row r="82" spans="2:13" ht="15.75">
      <c r="B82" s="616"/>
      <c r="C82" s="617"/>
      <c r="D82" s="616"/>
      <c r="E82" s="617"/>
      <c r="F82" s="618"/>
      <c r="G82" s="618"/>
      <c r="H82" s="618"/>
      <c r="I82" s="618"/>
      <c r="J82" s="618"/>
      <c r="K82" s="618"/>
      <c r="L82" s="618"/>
      <c r="M82" s="618"/>
    </row>
    <row r="83" spans="2:13" ht="15.75">
      <c r="B83" s="616"/>
      <c r="C83" s="617"/>
      <c r="D83" s="616"/>
      <c r="E83" s="617"/>
      <c r="F83" s="618"/>
      <c r="G83" s="618"/>
      <c r="H83" s="618"/>
      <c r="I83" s="618"/>
      <c r="J83" s="618"/>
      <c r="K83" s="618"/>
      <c r="L83" s="618"/>
      <c r="M83" s="618"/>
    </row>
    <row r="84" spans="2:13" ht="15.75">
      <c r="B84" s="616"/>
      <c r="C84" s="617"/>
      <c r="D84" s="616"/>
      <c r="E84" s="617"/>
      <c r="F84" s="618"/>
      <c r="G84" s="618"/>
      <c r="H84" s="618"/>
      <c r="I84" s="618"/>
      <c r="J84" s="618"/>
      <c r="K84" s="618"/>
      <c r="L84" s="618"/>
      <c r="M84" s="618"/>
    </row>
    <row r="85" spans="2:13" ht="15.75">
      <c r="B85" s="616"/>
      <c r="C85" s="617"/>
      <c r="D85" s="616"/>
      <c r="E85" s="617"/>
      <c r="F85" s="618"/>
      <c r="G85" s="618"/>
      <c r="H85" s="618"/>
      <c r="I85" s="618"/>
      <c r="J85" s="618"/>
      <c r="K85" s="618"/>
      <c r="L85" s="618"/>
      <c r="M85" s="618"/>
    </row>
    <row r="86" spans="2:13" ht="15.75">
      <c r="B86" s="616"/>
      <c r="C86" s="617"/>
      <c r="D86" s="616"/>
      <c r="E86" s="617"/>
      <c r="F86" s="618"/>
      <c r="G86" s="618"/>
      <c r="H86" s="618"/>
      <c r="I86" s="618"/>
      <c r="J86" s="618"/>
      <c r="K86" s="618"/>
      <c r="L86" s="618"/>
      <c r="M86" s="618"/>
    </row>
    <row r="87" spans="2:13" ht="15.75">
      <c r="B87" s="616"/>
      <c r="C87" s="617"/>
      <c r="D87" s="616"/>
      <c r="E87" s="617"/>
      <c r="F87" s="618"/>
      <c r="G87" s="618"/>
      <c r="H87" s="618"/>
      <c r="I87" s="618"/>
      <c r="J87" s="618"/>
      <c r="K87" s="618"/>
      <c r="L87" s="618"/>
      <c r="M87" s="618"/>
    </row>
    <row r="88" spans="2:13" ht="15.75">
      <c r="B88" s="616"/>
      <c r="C88" s="617"/>
      <c r="D88" s="616"/>
      <c r="E88" s="617"/>
      <c r="F88" s="618"/>
      <c r="G88" s="618"/>
      <c r="H88" s="618"/>
      <c r="I88" s="618"/>
      <c r="J88" s="618"/>
      <c r="K88" s="618"/>
      <c r="L88" s="618"/>
      <c r="M88" s="618"/>
    </row>
    <row r="89" spans="2:13" ht="15.75">
      <c r="B89" s="616"/>
      <c r="C89" s="617"/>
      <c r="D89" s="616"/>
      <c r="E89" s="617"/>
      <c r="F89" s="618"/>
      <c r="G89" s="618"/>
      <c r="H89" s="618"/>
      <c r="I89" s="618"/>
      <c r="J89" s="618"/>
      <c r="K89" s="618"/>
      <c r="L89" s="618"/>
      <c r="M89" s="618"/>
    </row>
    <row r="90" spans="2:13" ht="15.75">
      <c r="B90" s="616"/>
      <c r="C90" s="617"/>
      <c r="D90" s="616"/>
      <c r="E90" s="617"/>
      <c r="F90" s="618"/>
      <c r="G90" s="618"/>
      <c r="H90" s="618"/>
      <c r="I90" s="618"/>
      <c r="J90" s="618"/>
      <c r="K90" s="618"/>
      <c r="L90" s="618"/>
      <c r="M90" s="618"/>
    </row>
    <row r="91" spans="2:13" ht="15.75">
      <c r="B91" s="616"/>
      <c r="C91" s="617"/>
      <c r="D91" s="616"/>
      <c r="E91" s="617"/>
      <c r="F91" s="618"/>
      <c r="G91" s="618"/>
      <c r="H91" s="618"/>
      <c r="I91" s="618"/>
      <c r="J91" s="618"/>
      <c r="K91" s="618"/>
      <c r="L91" s="618"/>
      <c r="M91" s="618"/>
    </row>
    <row r="92" spans="2:13" ht="15.75">
      <c r="B92" s="616"/>
      <c r="C92" s="617"/>
      <c r="D92" s="616"/>
      <c r="E92" s="617"/>
      <c r="F92" s="618"/>
      <c r="G92" s="618"/>
      <c r="H92" s="618"/>
      <c r="I92" s="618"/>
      <c r="J92" s="618"/>
      <c r="K92" s="618"/>
      <c r="L92" s="618"/>
      <c r="M92" s="618"/>
    </row>
    <row r="93" spans="2:13" ht="15.75">
      <c r="B93" s="616"/>
      <c r="C93" s="617"/>
      <c r="D93" s="616"/>
      <c r="E93" s="617"/>
      <c r="F93" s="618"/>
      <c r="G93" s="618"/>
      <c r="H93" s="618"/>
      <c r="I93" s="618"/>
      <c r="J93" s="618"/>
      <c r="K93" s="618"/>
      <c r="L93" s="618"/>
      <c r="M93" s="618"/>
    </row>
    <row r="94" spans="2:13" ht="15.75">
      <c r="B94" s="616"/>
      <c r="C94" s="617"/>
      <c r="D94" s="616"/>
      <c r="E94" s="617"/>
      <c r="F94" s="618"/>
      <c r="G94" s="618"/>
      <c r="H94" s="618"/>
      <c r="I94" s="618"/>
      <c r="J94" s="618"/>
      <c r="K94" s="618"/>
      <c r="L94" s="618"/>
      <c r="M94" s="618"/>
    </row>
    <row r="95" spans="2:13" ht="15.75">
      <c r="B95" s="616"/>
      <c r="C95" s="617"/>
      <c r="D95" s="616"/>
      <c r="E95" s="617"/>
      <c r="F95" s="618"/>
      <c r="G95" s="618"/>
      <c r="H95" s="618"/>
      <c r="I95" s="618"/>
      <c r="J95" s="618"/>
      <c r="K95" s="618"/>
      <c r="L95" s="618"/>
      <c r="M95" s="618"/>
    </row>
    <row r="96" spans="2:13" ht="15.75">
      <c r="B96" s="616"/>
      <c r="C96" s="617"/>
      <c r="D96" s="616"/>
      <c r="E96" s="617"/>
      <c r="F96" s="618"/>
      <c r="G96" s="618"/>
      <c r="H96" s="618"/>
      <c r="I96" s="618"/>
      <c r="J96" s="618"/>
      <c r="K96" s="618"/>
      <c r="L96" s="618"/>
      <c r="M96" s="618"/>
    </row>
    <row r="97" spans="2:13" ht="15.75">
      <c r="B97" s="616"/>
      <c r="C97" s="617"/>
      <c r="D97" s="616"/>
      <c r="E97" s="617"/>
      <c r="F97" s="618"/>
      <c r="G97" s="618"/>
      <c r="H97" s="618"/>
      <c r="I97" s="618"/>
      <c r="J97" s="618"/>
      <c r="K97" s="618"/>
      <c r="L97" s="618"/>
      <c r="M97" s="618"/>
    </row>
    <row r="98" spans="2:13" ht="15.75">
      <c r="B98" s="616"/>
      <c r="C98" s="617"/>
      <c r="D98" s="616"/>
      <c r="E98" s="617"/>
      <c r="F98" s="618"/>
      <c r="G98" s="618"/>
      <c r="H98" s="618"/>
      <c r="I98" s="618"/>
      <c r="J98" s="618"/>
      <c r="K98" s="618"/>
      <c r="L98" s="618"/>
      <c r="M98" s="618"/>
    </row>
    <row r="99" spans="2:13" ht="15.75">
      <c r="B99" s="616"/>
      <c r="C99" s="617"/>
      <c r="D99" s="616"/>
      <c r="E99" s="617"/>
      <c r="F99" s="618"/>
      <c r="G99" s="618"/>
      <c r="H99" s="618"/>
      <c r="I99" s="618"/>
      <c r="J99" s="618"/>
      <c r="K99" s="618"/>
      <c r="L99" s="618"/>
      <c r="M99" s="618"/>
    </row>
    <row r="100" spans="2:13" ht="15.75">
      <c r="B100" s="616"/>
      <c r="C100" s="617"/>
      <c r="D100" s="616"/>
      <c r="E100" s="617"/>
      <c r="F100" s="618"/>
      <c r="G100" s="618"/>
      <c r="H100" s="618"/>
      <c r="I100" s="618"/>
      <c r="J100" s="618"/>
      <c r="K100" s="618"/>
      <c r="L100" s="618"/>
      <c r="M100" s="618"/>
    </row>
    <row r="101" spans="2:13" ht="15.75">
      <c r="B101" s="616"/>
      <c r="C101" s="617"/>
      <c r="D101" s="616"/>
      <c r="E101" s="617"/>
      <c r="F101" s="618"/>
      <c r="G101" s="618"/>
      <c r="H101" s="618"/>
      <c r="I101" s="618"/>
      <c r="J101" s="618"/>
      <c r="K101" s="618"/>
      <c r="L101" s="618"/>
      <c r="M101" s="618"/>
    </row>
    <row r="102" spans="2:13" ht="15.75">
      <c r="B102" s="616"/>
      <c r="C102" s="617"/>
      <c r="D102" s="616"/>
      <c r="E102" s="617"/>
      <c r="F102" s="618"/>
      <c r="G102" s="618"/>
      <c r="H102" s="618"/>
      <c r="I102" s="618"/>
      <c r="J102" s="618"/>
      <c r="K102" s="618"/>
      <c r="L102" s="618"/>
      <c r="M102" s="618"/>
    </row>
    <row r="103" spans="2:13" ht="15.75">
      <c r="B103" s="616"/>
      <c r="C103" s="617"/>
      <c r="D103" s="616"/>
      <c r="E103" s="617"/>
      <c r="F103" s="618"/>
      <c r="G103" s="618"/>
      <c r="H103" s="618"/>
      <c r="I103" s="618"/>
      <c r="J103" s="618"/>
      <c r="K103" s="618"/>
      <c r="L103" s="618"/>
      <c r="M103" s="618"/>
    </row>
    <row r="104" spans="2:13" ht="15.75">
      <c r="B104" s="616"/>
      <c r="C104" s="617"/>
      <c r="D104" s="616"/>
      <c r="E104" s="617"/>
      <c r="F104" s="618"/>
      <c r="G104" s="618"/>
      <c r="H104" s="618"/>
      <c r="I104" s="618"/>
      <c r="J104" s="618"/>
      <c r="K104" s="618"/>
      <c r="L104" s="618"/>
      <c r="M104" s="618"/>
    </row>
    <row r="105" spans="2:13" ht="15.75">
      <c r="B105" s="616"/>
      <c r="C105" s="617"/>
      <c r="D105" s="616"/>
      <c r="E105" s="617"/>
      <c r="F105" s="618"/>
      <c r="G105" s="618"/>
      <c r="H105" s="618"/>
      <c r="I105" s="618"/>
      <c r="J105" s="618"/>
      <c r="K105" s="618"/>
      <c r="L105" s="618"/>
      <c r="M105" s="618"/>
    </row>
    <row r="106" spans="2:13" ht="15.75">
      <c r="B106" s="616"/>
      <c r="C106" s="617"/>
      <c r="D106" s="616"/>
      <c r="E106" s="617"/>
      <c r="F106" s="618"/>
      <c r="G106" s="618"/>
      <c r="H106" s="618"/>
      <c r="I106" s="618"/>
      <c r="J106" s="618"/>
      <c r="K106" s="618"/>
      <c r="L106" s="618"/>
      <c r="M106" s="618"/>
    </row>
    <row r="107" spans="2:13" ht="15.75">
      <c r="B107" s="616"/>
      <c r="C107" s="617"/>
      <c r="D107" s="616"/>
      <c r="E107" s="617"/>
      <c r="F107" s="618"/>
      <c r="G107" s="618"/>
      <c r="H107" s="618"/>
      <c r="I107" s="618"/>
      <c r="J107" s="618"/>
      <c r="K107" s="618"/>
      <c r="L107" s="618"/>
      <c r="M107" s="618"/>
    </row>
  </sheetData>
  <mergeCells count="11">
    <mergeCell ref="B50:E50"/>
    <mergeCell ref="R1:S1"/>
    <mergeCell ref="B2:D2"/>
    <mergeCell ref="N2:O2"/>
    <mergeCell ref="P2:Q2"/>
    <mergeCell ref="R2:S2"/>
    <mergeCell ref="W54:AA54"/>
    <mergeCell ref="W55:AA55"/>
    <mergeCell ref="W56:AA56"/>
    <mergeCell ref="W57:AA57"/>
    <mergeCell ref="W58:AA58"/>
  </mergeCells>
  <pageMargins left="0.25" right="0.25" top="0.75" bottom="0.75" header="0.3" footer="0.3"/>
  <pageSetup paperSize="9" scale="54"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K87"/>
  <sheetViews>
    <sheetView showGridLines="0" zoomScale="60" zoomScaleNormal="60" workbookViewId="0">
      <selection activeCell="I17" sqref="I17"/>
    </sheetView>
  </sheetViews>
  <sheetFormatPr defaultColWidth="9.140625" defaultRowHeight="25.5"/>
  <cols>
    <col min="1" max="1" width="4.85546875" style="635" customWidth="1"/>
    <col min="2" max="2" width="11" style="749" customWidth="1"/>
    <col min="3" max="3" width="131.7109375" style="750" customWidth="1"/>
    <col min="4" max="4" width="28" style="751" customWidth="1"/>
    <col min="5" max="5" width="24.5703125" style="752" customWidth="1"/>
    <col min="6" max="6" width="6.140625" style="634" customWidth="1"/>
    <col min="7" max="7" width="9.140625" style="635"/>
    <col min="8" max="8" width="21.28515625" style="635" customWidth="1"/>
    <col min="9" max="10" width="9.140625" style="635"/>
    <col min="11" max="11" width="14.7109375" style="737" bestFit="1" customWidth="1"/>
    <col min="12" max="16384" width="9.140625" style="635"/>
  </cols>
  <sheetData>
    <row r="2" spans="2:6" ht="33.75" customHeight="1">
      <c r="B2" s="1095" t="str">
        <f>CONCATENATE("Planilha do Custo Direto da Mão de Obra - ", Áreas_edf_e_Descrição_postos!C16)</f>
        <v>Planilha do Custo Direto da Mão de Obra - Supervisor</v>
      </c>
      <c r="C2" s="1096"/>
      <c r="D2" s="1096"/>
      <c r="E2" s="1097"/>
    </row>
    <row r="3" spans="2:6" ht="33.75" customHeight="1">
      <c r="B3" s="1098" t="s">
        <v>1318</v>
      </c>
      <c r="C3" s="1098"/>
      <c r="D3" s="1098"/>
      <c r="E3" s="1098"/>
      <c r="F3" s="636"/>
    </row>
    <row r="4" spans="2:6" ht="35.25" customHeight="1">
      <c r="B4" s="637" t="s">
        <v>810</v>
      </c>
      <c r="C4" s="637" t="s">
        <v>811</v>
      </c>
      <c r="D4" s="638" t="s">
        <v>812</v>
      </c>
      <c r="E4" s="639" t="s">
        <v>813</v>
      </c>
      <c r="F4" s="636"/>
    </row>
    <row r="5" spans="2:6" ht="31.5" customHeight="1">
      <c r="B5" s="640">
        <v>1</v>
      </c>
      <c r="C5" s="641" t="s">
        <v>814</v>
      </c>
      <c r="D5" s="642"/>
      <c r="E5" s="643"/>
      <c r="F5" s="636"/>
    </row>
    <row r="6" spans="2:6" ht="30.75" customHeight="1">
      <c r="B6" s="754" t="s">
        <v>739</v>
      </c>
      <c r="C6" s="755" t="s">
        <v>815</v>
      </c>
      <c r="D6" s="756"/>
      <c r="E6" s="757"/>
      <c r="F6" s="636"/>
    </row>
    <row r="7" spans="2:6" ht="27" customHeight="1">
      <c r="B7" s="644" t="s">
        <v>741</v>
      </c>
      <c r="C7" s="645" t="s">
        <v>816</v>
      </c>
      <c r="D7" s="646"/>
      <c r="E7" s="647"/>
      <c r="F7" s="636"/>
    </row>
    <row r="8" spans="2:6" ht="27" customHeight="1">
      <c r="B8" s="644"/>
      <c r="C8" s="648" t="s">
        <v>817</v>
      </c>
      <c r="D8" s="649"/>
      <c r="E8" s="647"/>
      <c r="F8" s="636"/>
    </row>
    <row r="9" spans="2:6" ht="27.75" customHeight="1">
      <c r="B9" s="644" t="s">
        <v>743</v>
      </c>
      <c r="C9" s="645" t="s">
        <v>818</v>
      </c>
      <c r="D9" s="650"/>
      <c r="E9" s="651"/>
      <c r="F9" s="636"/>
    </row>
    <row r="10" spans="2:6" ht="29.25" customHeight="1">
      <c r="B10" s="644" t="s">
        <v>745</v>
      </c>
      <c r="C10" s="645" t="s">
        <v>819</v>
      </c>
      <c r="D10" s="646"/>
      <c r="E10" s="647"/>
      <c r="F10" s="636"/>
    </row>
    <row r="11" spans="2:6" ht="29.25" customHeight="1">
      <c r="B11" s="644" t="s">
        <v>747</v>
      </c>
      <c r="C11" s="645" t="s">
        <v>820</v>
      </c>
      <c r="D11" s="646"/>
      <c r="E11" s="647"/>
      <c r="F11" s="636"/>
    </row>
    <row r="12" spans="2:6" ht="30.75" customHeight="1">
      <c r="B12" s="644" t="s">
        <v>749</v>
      </c>
      <c r="C12" s="645" t="s">
        <v>821</v>
      </c>
      <c r="D12" s="646"/>
      <c r="E12" s="647"/>
      <c r="F12" s="636"/>
    </row>
    <row r="13" spans="2:6" ht="33" customHeight="1">
      <c r="B13" s="1099" t="s">
        <v>822</v>
      </c>
      <c r="C13" s="1100"/>
      <c r="D13" s="652"/>
      <c r="E13" s="653">
        <f>SUM(E6:E12)</f>
        <v>0</v>
      </c>
      <c r="F13" s="636"/>
    </row>
    <row r="14" spans="2:6" ht="33" customHeight="1">
      <c r="B14" s="654"/>
      <c r="C14" s="655" t="s">
        <v>823</v>
      </c>
      <c r="D14" s="646"/>
      <c r="E14" s="647"/>
      <c r="F14" s="636"/>
    </row>
    <row r="15" spans="2:6" ht="31.5" customHeight="1">
      <c r="B15" s="654" t="s">
        <v>751</v>
      </c>
      <c r="C15" s="656" t="s">
        <v>824</v>
      </c>
      <c r="D15" s="646"/>
      <c r="E15" s="657"/>
      <c r="F15" s="636"/>
    </row>
    <row r="16" spans="2:6" ht="31.5" customHeight="1">
      <c r="B16" s="654" t="s">
        <v>755</v>
      </c>
      <c r="C16" s="658" t="s">
        <v>825</v>
      </c>
      <c r="D16" s="646"/>
      <c r="E16" s="657"/>
      <c r="F16" s="636"/>
    </row>
    <row r="17" spans="2:8" ht="33.75" customHeight="1">
      <c r="B17" s="640">
        <v>1</v>
      </c>
      <c r="C17" s="659" t="s">
        <v>826</v>
      </c>
      <c r="D17" s="660"/>
      <c r="E17" s="661">
        <f>E13+E15</f>
        <v>0</v>
      </c>
      <c r="F17" s="636"/>
    </row>
    <row r="18" spans="2:8" ht="33.75" customHeight="1">
      <c r="B18" s="640">
        <v>2</v>
      </c>
      <c r="C18" s="641" t="s">
        <v>827</v>
      </c>
      <c r="D18" s="642"/>
      <c r="E18" s="643"/>
      <c r="F18" s="636"/>
    </row>
    <row r="19" spans="2:8" ht="33.75" customHeight="1">
      <c r="B19" s="652"/>
      <c r="C19" s="662" t="s">
        <v>828</v>
      </c>
      <c r="D19" s="663"/>
      <c r="E19" s="664"/>
      <c r="F19" s="636"/>
    </row>
    <row r="20" spans="2:8" ht="33.75" customHeight="1">
      <c r="B20" s="665" t="s">
        <v>739</v>
      </c>
      <c r="C20" s="666" t="s">
        <v>829</v>
      </c>
      <c r="D20" s="667"/>
      <c r="E20" s="668"/>
      <c r="F20" s="636"/>
    </row>
    <row r="21" spans="2:8" ht="33.75" customHeight="1">
      <c r="B21" s="665" t="s">
        <v>741</v>
      </c>
      <c r="C21" s="666" t="s">
        <v>830</v>
      </c>
      <c r="D21" s="667"/>
      <c r="E21" s="669"/>
      <c r="F21" s="636"/>
      <c r="H21" s="670"/>
    </row>
    <row r="22" spans="2:8" ht="33.75" customHeight="1">
      <c r="B22" s="665" t="s">
        <v>743</v>
      </c>
      <c r="C22" s="666" t="s">
        <v>707</v>
      </c>
      <c r="D22" s="667"/>
      <c r="E22" s="668"/>
      <c r="F22" s="636"/>
    </row>
    <row r="23" spans="2:8" ht="33.75" customHeight="1">
      <c r="B23" s="665" t="s">
        <v>745</v>
      </c>
      <c r="C23" s="211" t="s">
        <v>831</v>
      </c>
      <c r="D23" s="667"/>
      <c r="E23" s="668"/>
      <c r="F23" s="636"/>
    </row>
    <row r="24" spans="2:8" ht="33.75" customHeight="1">
      <c r="B24" s="665" t="s">
        <v>747</v>
      </c>
      <c r="C24" s="211" t="s">
        <v>832</v>
      </c>
      <c r="D24" s="667"/>
      <c r="E24" s="668"/>
      <c r="F24" s="636"/>
    </row>
    <row r="25" spans="2:8" ht="33.75" customHeight="1">
      <c r="B25" s="665" t="s">
        <v>749</v>
      </c>
      <c r="C25" s="211" t="s">
        <v>833</v>
      </c>
      <c r="D25" s="667"/>
      <c r="E25" s="671"/>
      <c r="F25" s="636"/>
    </row>
    <row r="26" spans="2:8" ht="33.75" customHeight="1">
      <c r="B26" s="665" t="s">
        <v>751</v>
      </c>
      <c r="C26" s="211" t="s">
        <v>834</v>
      </c>
      <c r="D26" s="667"/>
      <c r="E26" s="671"/>
      <c r="F26" s="636"/>
    </row>
    <row r="27" spans="2:8" ht="33.75" customHeight="1">
      <c r="B27" s="672"/>
      <c r="C27" s="673" t="s">
        <v>835</v>
      </c>
      <c r="D27" s="674"/>
      <c r="E27" s="675">
        <f>SUM(E20:E26)</f>
        <v>0</v>
      </c>
      <c r="F27" s="636"/>
    </row>
    <row r="28" spans="2:8" ht="33.75" customHeight="1">
      <c r="B28" s="676"/>
      <c r="C28" s="662" t="s">
        <v>836</v>
      </c>
      <c r="D28" s="677"/>
      <c r="E28" s="678"/>
      <c r="F28" s="636"/>
    </row>
    <row r="29" spans="2:8" ht="33.75" customHeight="1">
      <c r="B29" s="679" t="s">
        <v>739</v>
      </c>
      <c r="C29" s="680" t="s">
        <v>837</v>
      </c>
      <c r="D29" s="667"/>
      <c r="E29" s="668">
        <f>D29*$E$13</f>
        <v>0</v>
      </c>
      <c r="F29" s="636"/>
    </row>
    <row r="30" spans="2:8" ht="51.75" customHeight="1">
      <c r="B30" s="679" t="s">
        <v>741</v>
      </c>
      <c r="C30" s="680" t="s">
        <v>838</v>
      </c>
      <c r="D30" s="681"/>
      <c r="E30" s="668">
        <f t="shared" ref="E30:E36" si="0">D30*$E$13</f>
        <v>0</v>
      </c>
      <c r="F30" s="636"/>
    </row>
    <row r="31" spans="2:8" ht="51" customHeight="1">
      <c r="B31" s="679" t="s">
        <v>743</v>
      </c>
      <c r="C31" s="682" t="s">
        <v>1319</v>
      </c>
      <c r="D31" s="681"/>
      <c r="E31" s="668">
        <f t="shared" si="0"/>
        <v>0</v>
      </c>
      <c r="F31" s="636"/>
    </row>
    <row r="32" spans="2:8" ht="33.75" customHeight="1">
      <c r="B32" s="679" t="s">
        <v>745</v>
      </c>
      <c r="C32" s="680" t="s">
        <v>839</v>
      </c>
      <c r="D32" s="681"/>
      <c r="E32" s="668">
        <f t="shared" si="0"/>
        <v>0</v>
      </c>
      <c r="F32" s="636"/>
    </row>
    <row r="33" spans="2:6" ht="33.75" customHeight="1">
      <c r="B33" s="679" t="s">
        <v>747</v>
      </c>
      <c r="C33" s="680" t="s">
        <v>840</v>
      </c>
      <c r="D33" s="681"/>
      <c r="E33" s="668">
        <f t="shared" si="0"/>
        <v>0</v>
      </c>
      <c r="F33" s="636"/>
    </row>
    <row r="34" spans="2:6" ht="33.75" customHeight="1">
      <c r="B34" s="683" t="s">
        <v>749</v>
      </c>
      <c r="C34" s="684" t="s">
        <v>841</v>
      </c>
      <c r="D34" s="685"/>
      <c r="E34" s="668">
        <f t="shared" si="0"/>
        <v>0</v>
      </c>
      <c r="F34" s="636"/>
    </row>
    <row r="35" spans="2:6" ht="33.75" customHeight="1">
      <c r="B35" s="679" t="s">
        <v>751</v>
      </c>
      <c r="C35" s="680" t="s">
        <v>842</v>
      </c>
      <c r="D35" s="681"/>
      <c r="E35" s="668">
        <f t="shared" si="0"/>
        <v>0</v>
      </c>
      <c r="F35" s="636"/>
    </row>
    <row r="36" spans="2:6" ht="33.75" customHeight="1">
      <c r="B36" s="679" t="s">
        <v>755</v>
      </c>
      <c r="C36" s="680" t="s">
        <v>843</v>
      </c>
      <c r="D36" s="685"/>
      <c r="E36" s="668">
        <f t="shared" si="0"/>
        <v>0</v>
      </c>
      <c r="F36" s="636"/>
    </row>
    <row r="37" spans="2:6" ht="33.75" customHeight="1">
      <c r="B37" s="686"/>
      <c r="C37" s="673" t="s">
        <v>844</v>
      </c>
      <c r="D37" s="674"/>
      <c r="E37" s="675">
        <f>SUM(E29:E36)</f>
        <v>0</v>
      </c>
      <c r="F37" s="636"/>
    </row>
    <row r="38" spans="2:6" ht="33.75" customHeight="1">
      <c r="B38" s="676"/>
      <c r="C38" s="662" t="s">
        <v>845</v>
      </c>
      <c r="D38" s="677"/>
      <c r="E38" s="687"/>
      <c r="F38" s="636"/>
    </row>
    <row r="39" spans="2:6" ht="33.75" customHeight="1">
      <c r="B39" s="644" t="s">
        <v>739</v>
      </c>
      <c r="C39" s="688" t="s">
        <v>759</v>
      </c>
      <c r="D39" s="646"/>
      <c r="E39" s="647">
        <f>D39*$E$13</f>
        <v>0</v>
      </c>
      <c r="F39" s="636"/>
    </row>
    <row r="40" spans="2:6" ht="33.75" customHeight="1" thickBot="1">
      <c r="B40" s="689" t="s">
        <v>741</v>
      </c>
      <c r="C40" s="690" t="s">
        <v>762</v>
      </c>
      <c r="D40" s="691"/>
      <c r="E40" s="647">
        <f>D40*$E$13</f>
        <v>0</v>
      </c>
      <c r="F40" s="636"/>
    </row>
    <row r="41" spans="2:6" ht="33.75" customHeight="1" thickBot="1">
      <c r="B41" s="692" t="s">
        <v>743</v>
      </c>
      <c r="C41" s="693" t="s">
        <v>846</v>
      </c>
      <c r="D41" s="694"/>
      <c r="E41" s="695">
        <f>D41*E13</f>
        <v>0</v>
      </c>
      <c r="F41" s="636"/>
    </row>
    <row r="42" spans="2:6" ht="33.75" customHeight="1">
      <c r="B42" s="212" t="s">
        <v>745</v>
      </c>
      <c r="C42" s="213" t="s">
        <v>768</v>
      </c>
      <c r="D42" s="214"/>
      <c r="E42" s="696">
        <f>D42*E13</f>
        <v>0</v>
      </c>
      <c r="F42" s="636"/>
    </row>
    <row r="43" spans="2:6" ht="31.5" customHeight="1">
      <c r="B43" s="686"/>
      <c r="C43" s="673" t="s">
        <v>847</v>
      </c>
      <c r="D43" s="674"/>
      <c r="E43" s="675">
        <f>SUM(E39:E42)</f>
        <v>0</v>
      </c>
      <c r="F43" s="636"/>
    </row>
    <row r="44" spans="2:6" ht="33.75" customHeight="1">
      <c r="B44" s="686"/>
      <c r="C44" s="672" t="s">
        <v>848</v>
      </c>
      <c r="D44" s="677"/>
      <c r="E44" s="678"/>
      <c r="F44" s="636"/>
    </row>
    <row r="45" spans="2:6" ht="33.75" customHeight="1" thickBot="1">
      <c r="B45" s="697" t="s">
        <v>739</v>
      </c>
      <c r="C45" s="698" t="s">
        <v>849</v>
      </c>
      <c r="D45" s="699"/>
      <c r="E45" s="700">
        <f>D45*E13</f>
        <v>0</v>
      </c>
      <c r="F45" s="636"/>
    </row>
    <row r="46" spans="2:6" ht="33" customHeight="1" thickBot="1">
      <c r="B46" s="701" t="s">
        <v>741</v>
      </c>
      <c r="C46" s="702" t="s">
        <v>850</v>
      </c>
      <c r="D46" s="703"/>
      <c r="E46" s="704">
        <f>D46*E13</f>
        <v>0</v>
      </c>
      <c r="F46" s="636"/>
    </row>
    <row r="47" spans="2:6" ht="34.5" customHeight="1">
      <c r="B47" s="705"/>
      <c r="C47" s="706" t="s">
        <v>851</v>
      </c>
      <c r="D47" s="707"/>
      <c r="E47" s="708">
        <f>E45+E46</f>
        <v>0</v>
      </c>
      <c r="F47" s="636"/>
    </row>
    <row r="48" spans="2:6" ht="39.75" customHeight="1">
      <c r="B48" s="640">
        <v>2</v>
      </c>
      <c r="C48" s="659" t="s">
        <v>852</v>
      </c>
      <c r="D48" s="660"/>
      <c r="E48" s="661">
        <f>E27+E37+E43+E47</f>
        <v>0</v>
      </c>
      <c r="F48" s="636"/>
    </row>
    <row r="49" spans="2:6" ht="33" customHeight="1">
      <c r="B49" s="640">
        <v>3</v>
      </c>
      <c r="C49" s="641" t="s">
        <v>853</v>
      </c>
      <c r="D49" s="642"/>
      <c r="E49" s="643"/>
      <c r="F49" s="636"/>
    </row>
    <row r="50" spans="2:6" ht="39" customHeight="1">
      <c r="B50" s="644" t="s">
        <v>739</v>
      </c>
      <c r="C50" s="688" t="s">
        <v>777</v>
      </c>
      <c r="D50" s="646"/>
      <c r="E50" s="647">
        <f>D50*E13</f>
        <v>0</v>
      </c>
      <c r="F50" s="636"/>
    </row>
    <row r="51" spans="2:6" ht="39" customHeight="1" thickBot="1">
      <c r="B51" s="709" t="s">
        <v>741</v>
      </c>
      <c r="C51" s="710" t="s">
        <v>780</v>
      </c>
      <c r="D51" s="711"/>
      <c r="E51" s="647">
        <f>D51*E13</f>
        <v>0</v>
      </c>
      <c r="F51" s="636"/>
    </row>
    <row r="52" spans="2:6" ht="35.25" customHeight="1" thickBot="1">
      <c r="B52" s="692" t="s">
        <v>743</v>
      </c>
      <c r="C52" s="712" t="s">
        <v>1320</v>
      </c>
      <c r="D52" s="713"/>
      <c r="E52" s="695">
        <f>D52*E13</f>
        <v>0</v>
      </c>
      <c r="F52" s="636"/>
    </row>
    <row r="53" spans="2:6" ht="31.5" customHeight="1">
      <c r="B53" s="714" t="s">
        <v>745</v>
      </c>
      <c r="C53" s="715" t="s">
        <v>854</v>
      </c>
      <c r="D53" s="716"/>
      <c r="E53" s="696">
        <f>D53*E13</f>
        <v>0</v>
      </c>
      <c r="F53" s="636"/>
    </row>
    <row r="54" spans="2:6" ht="31.5" customHeight="1">
      <c r="B54" s="644" t="s">
        <v>747</v>
      </c>
      <c r="C54" s="645" t="s">
        <v>855</v>
      </c>
      <c r="D54" s="691"/>
      <c r="E54" s="647">
        <f>D54*E13</f>
        <v>0</v>
      </c>
      <c r="F54" s="636"/>
    </row>
    <row r="55" spans="2:6" ht="29.25" customHeight="1">
      <c r="B55" s="679" t="s">
        <v>749</v>
      </c>
      <c r="C55" s="680" t="s">
        <v>856</v>
      </c>
      <c r="D55" s="691"/>
      <c r="E55" s="647">
        <f>D55*E13</f>
        <v>0</v>
      </c>
      <c r="F55" s="636"/>
    </row>
    <row r="56" spans="2:6" ht="32.25" customHeight="1">
      <c r="B56" s="640">
        <v>3</v>
      </c>
      <c r="C56" s="717" t="s">
        <v>857</v>
      </c>
      <c r="D56" s="718"/>
      <c r="E56" s="719">
        <f>SUM(E50:E55)</f>
        <v>0</v>
      </c>
      <c r="F56" s="636"/>
    </row>
    <row r="57" spans="2:6" ht="33" customHeight="1">
      <c r="B57" s="640">
        <v>4</v>
      </c>
      <c r="C57" s="641" t="s">
        <v>858</v>
      </c>
      <c r="D57" s="642"/>
      <c r="E57" s="643"/>
      <c r="F57" s="636"/>
    </row>
    <row r="58" spans="2:6" ht="33" customHeight="1">
      <c r="B58" s="679" t="s">
        <v>739</v>
      </c>
      <c r="C58" s="720" t="s">
        <v>789</v>
      </c>
      <c r="D58" s="667"/>
      <c r="E58" s="668">
        <f>D58*$E$13</f>
        <v>0</v>
      </c>
      <c r="F58" s="636"/>
    </row>
    <row r="59" spans="2:6" ht="30.75" customHeight="1">
      <c r="B59" s="679" t="s">
        <v>741</v>
      </c>
      <c r="C59" s="721" t="s">
        <v>859</v>
      </c>
      <c r="D59" s="667"/>
      <c r="E59" s="668">
        <f t="shared" ref="E59:E61" si="1">D59*$E$13</f>
        <v>0</v>
      </c>
      <c r="F59" s="636"/>
    </row>
    <row r="60" spans="2:6" ht="35.25" customHeight="1">
      <c r="B60" s="679" t="s">
        <v>743</v>
      </c>
      <c r="C60" s="721" t="s">
        <v>792</v>
      </c>
      <c r="D60" s="667"/>
      <c r="E60" s="668">
        <f t="shared" si="1"/>
        <v>0</v>
      </c>
      <c r="F60" s="636"/>
    </row>
    <row r="61" spans="2:6" ht="29.25" customHeight="1" thickBot="1">
      <c r="B61" s="697" t="s">
        <v>745</v>
      </c>
      <c r="C61" s="722" t="s">
        <v>793</v>
      </c>
      <c r="D61" s="699"/>
      <c r="E61" s="668">
        <f t="shared" si="1"/>
        <v>0</v>
      </c>
      <c r="F61" s="723"/>
    </row>
    <row r="62" spans="2:6" ht="36" customHeight="1" thickBot="1">
      <c r="B62" s="701" t="s">
        <v>747</v>
      </c>
      <c r="C62" s="724" t="s">
        <v>795</v>
      </c>
      <c r="D62" s="694"/>
      <c r="E62" s="704">
        <f>D62*E13</f>
        <v>0</v>
      </c>
      <c r="F62" s="636"/>
    </row>
    <row r="63" spans="2:6" ht="39" customHeight="1">
      <c r="B63" s="725" t="s">
        <v>749</v>
      </c>
      <c r="C63" s="726" t="s">
        <v>860</v>
      </c>
      <c r="D63" s="727"/>
      <c r="E63" s="728">
        <f>D63*E13</f>
        <v>0</v>
      </c>
      <c r="F63" s="729"/>
    </row>
    <row r="64" spans="2:6" ht="38.25" customHeight="1" thickBot="1">
      <c r="B64" s="697" t="s">
        <v>751</v>
      </c>
      <c r="C64" s="730" t="s">
        <v>797</v>
      </c>
      <c r="D64" s="699"/>
      <c r="E64" s="700">
        <f>D64*E13</f>
        <v>0</v>
      </c>
      <c r="F64" s="636"/>
    </row>
    <row r="65" spans="2:8" ht="37.5" customHeight="1" thickBot="1">
      <c r="B65" s="701" t="s">
        <v>755</v>
      </c>
      <c r="C65" s="724" t="s">
        <v>861</v>
      </c>
      <c r="D65" s="703"/>
      <c r="E65" s="704">
        <f>D65*E13</f>
        <v>0</v>
      </c>
      <c r="F65" s="636"/>
    </row>
    <row r="66" spans="2:8" ht="36" customHeight="1">
      <c r="B66" s="731">
        <v>4</v>
      </c>
      <c r="C66" s="732" t="s">
        <v>862</v>
      </c>
      <c r="D66" s="733"/>
      <c r="E66" s="734">
        <f>SUM(E58:E65)</f>
        <v>0</v>
      </c>
      <c r="F66" s="636"/>
    </row>
    <row r="67" spans="2:8" ht="36" customHeight="1">
      <c r="B67" s="1101" t="s">
        <v>863</v>
      </c>
      <c r="C67" s="1102"/>
      <c r="D67" s="735"/>
      <c r="E67" s="736">
        <f>E37+E43+E47+E56+E66</f>
        <v>0</v>
      </c>
      <c r="F67" s="636"/>
      <c r="H67" s="737"/>
    </row>
    <row r="68" spans="2:8" ht="36.75" customHeight="1">
      <c r="B68" s="640">
        <v>5</v>
      </c>
      <c r="C68" s="641" t="s">
        <v>864</v>
      </c>
      <c r="D68" s="642"/>
      <c r="E68" s="643"/>
      <c r="F68" s="636"/>
    </row>
    <row r="69" spans="2:8" ht="32.25" customHeight="1">
      <c r="B69" s="679" t="s">
        <v>739</v>
      </c>
      <c r="C69" s="680" t="s">
        <v>865</v>
      </c>
      <c r="D69" s="667"/>
      <c r="E69" s="215"/>
      <c r="F69" s="636"/>
    </row>
    <row r="70" spans="2:8" ht="28.5" customHeight="1">
      <c r="B70" s="679" t="s">
        <v>741</v>
      </c>
      <c r="C70" s="680" t="s">
        <v>866</v>
      </c>
      <c r="D70" s="738"/>
      <c r="E70" s="668"/>
      <c r="F70" s="636"/>
    </row>
    <row r="71" spans="2:8" ht="30" customHeight="1">
      <c r="B71" s="679" t="s">
        <v>743</v>
      </c>
      <c r="C71" s="680" t="s">
        <v>867</v>
      </c>
      <c r="D71" s="738"/>
      <c r="E71" s="668"/>
      <c r="F71" s="636"/>
    </row>
    <row r="72" spans="2:8" ht="32.25" customHeight="1">
      <c r="B72" s="640">
        <v>5</v>
      </c>
      <c r="C72" s="659" t="s">
        <v>868</v>
      </c>
      <c r="D72" s="660"/>
      <c r="E72" s="739">
        <f>SUM(E69:E71)</f>
        <v>0</v>
      </c>
      <c r="F72" s="636"/>
    </row>
    <row r="73" spans="2:8" ht="33" customHeight="1">
      <c r="B73" s="1103" t="s">
        <v>869</v>
      </c>
      <c r="C73" s="1104"/>
      <c r="D73" s="740"/>
      <c r="E73" s="741">
        <f>E17+E48+E56+E66+E72</f>
        <v>0</v>
      </c>
      <c r="F73" s="636"/>
    </row>
    <row r="74" spans="2:8" ht="39" customHeight="1">
      <c r="B74" s="742" t="s">
        <v>15</v>
      </c>
      <c r="C74" s="1105"/>
      <c r="D74" s="1106"/>
      <c r="E74" s="1106"/>
      <c r="F74" s="636"/>
    </row>
    <row r="75" spans="2:8" ht="81.75" customHeight="1">
      <c r="B75" s="743" t="s">
        <v>870</v>
      </c>
      <c r="C75" s="1089" t="s">
        <v>871</v>
      </c>
      <c r="D75" s="1090"/>
      <c r="E75" s="1091"/>
      <c r="F75" s="636"/>
    </row>
    <row r="76" spans="2:8" ht="43.5" customHeight="1">
      <c r="B76" s="753" t="s">
        <v>872</v>
      </c>
      <c r="C76" s="1092" t="s">
        <v>1321</v>
      </c>
      <c r="D76" s="1093"/>
      <c r="E76" s="1094"/>
      <c r="F76" s="636"/>
    </row>
    <row r="77" spans="2:8" ht="40.5" customHeight="1">
      <c r="B77" s="743" t="s">
        <v>873</v>
      </c>
      <c r="C77" s="1089" t="s">
        <v>874</v>
      </c>
      <c r="D77" s="1090"/>
      <c r="E77" s="1091"/>
      <c r="F77" s="636"/>
    </row>
    <row r="78" spans="2:8" ht="51.75" customHeight="1">
      <c r="B78" s="744" t="s">
        <v>875</v>
      </c>
      <c r="C78" s="1089" t="s">
        <v>876</v>
      </c>
      <c r="D78" s="1090"/>
      <c r="E78" s="1091"/>
      <c r="F78" s="636"/>
    </row>
    <row r="79" spans="2:8" ht="33" customHeight="1">
      <c r="B79" s="745"/>
      <c r="C79" s="746"/>
      <c r="D79" s="747"/>
      <c r="E79" s="748"/>
      <c r="F79" s="636"/>
    </row>
    <row r="80" spans="2:8" ht="33" customHeight="1">
      <c r="B80" s="745"/>
      <c r="C80" s="746"/>
      <c r="D80" s="747"/>
      <c r="E80" s="748"/>
      <c r="F80" s="636"/>
    </row>
    <row r="81" spans="2:6" ht="33" customHeight="1">
      <c r="B81" s="745"/>
      <c r="C81" s="746"/>
      <c r="D81" s="747"/>
      <c r="E81" s="748"/>
      <c r="F81" s="636"/>
    </row>
    <row r="82" spans="2:6" ht="33" customHeight="1">
      <c r="B82" s="745"/>
      <c r="C82" s="746"/>
      <c r="D82" s="747"/>
      <c r="E82" s="748"/>
      <c r="F82" s="636"/>
    </row>
    <row r="83" spans="2:6" ht="33" customHeight="1">
      <c r="B83" s="745"/>
      <c r="C83" s="746"/>
      <c r="D83" s="747"/>
      <c r="E83" s="748"/>
      <c r="F83" s="636"/>
    </row>
    <row r="84" spans="2:6" ht="33" customHeight="1">
      <c r="B84" s="745"/>
      <c r="C84" s="746"/>
      <c r="D84" s="747"/>
      <c r="E84" s="748"/>
      <c r="F84" s="636"/>
    </row>
    <row r="85" spans="2:6" ht="33" customHeight="1">
      <c r="B85" s="745"/>
      <c r="C85" s="746"/>
      <c r="D85" s="747"/>
      <c r="E85" s="748"/>
      <c r="F85" s="636"/>
    </row>
    <row r="86" spans="2:6" ht="33" customHeight="1">
      <c r="B86" s="745"/>
      <c r="C86" s="746"/>
      <c r="D86" s="747"/>
      <c r="E86" s="748"/>
      <c r="F86" s="636"/>
    </row>
    <row r="87" spans="2:6" ht="33" customHeight="1">
      <c r="B87" s="745"/>
      <c r="C87" s="746"/>
      <c r="D87" s="747"/>
      <c r="E87" s="748"/>
      <c r="F87" s="63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K87"/>
  <sheetViews>
    <sheetView showGridLines="0" topLeftCell="A2" zoomScale="60" zoomScaleNormal="60" workbookViewId="0">
      <selection activeCell="J15" sqref="J15"/>
    </sheetView>
  </sheetViews>
  <sheetFormatPr defaultColWidth="9.140625" defaultRowHeight="25.5"/>
  <cols>
    <col min="1" max="1" width="4.85546875" style="635" customWidth="1"/>
    <col min="2" max="2" width="11" style="749" customWidth="1"/>
    <col min="3" max="3" width="131.7109375" style="750" customWidth="1"/>
    <col min="4" max="4" width="28" style="751" customWidth="1"/>
    <col min="5" max="5" width="24.5703125" style="752" customWidth="1"/>
    <col min="6" max="6" width="6.140625" style="634" customWidth="1"/>
    <col min="7" max="7" width="9.140625" style="635"/>
    <col min="8" max="8" width="21.28515625" style="635" customWidth="1"/>
    <col min="9" max="10" width="9.140625" style="635"/>
    <col min="11" max="11" width="14.7109375" style="737" bestFit="1" customWidth="1"/>
    <col min="12" max="16384" width="9.140625" style="635"/>
  </cols>
  <sheetData>
    <row r="2" spans="2:6" ht="33.75" customHeight="1">
      <c r="B2" s="1095" t="str">
        <f>CONCATENATE("Planilha do Custo Direto da Mão de Obra - ", Áreas_edf_e_Descrição_postos!C17)</f>
        <v>Planilha do Custo Direto da Mão de Obra - Garçom</v>
      </c>
      <c r="C2" s="1096"/>
      <c r="D2" s="1096"/>
      <c r="E2" s="1097"/>
    </row>
    <row r="3" spans="2:6" ht="33.75" customHeight="1">
      <c r="B3" s="1098" t="s">
        <v>1318</v>
      </c>
      <c r="C3" s="1098"/>
      <c r="D3" s="1098"/>
      <c r="E3" s="1098"/>
      <c r="F3" s="636"/>
    </row>
    <row r="4" spans="2:6" ht="35.25" customHeight="1">
      <c r="B4" s="637" t="s">
        <v>810</v>
      </c>
      <c r="C4" s="637" t="s">
        <v>811</v>
      </c>
      <c r="D4" s="638" t="s">
        <v>812</v>
      </c>
      <c r="E4" s="639" t="s">
        <v>813</v>
      </c>
      <c r="F4" s="636"/>
    </row>
    <row r="5" spans="2:6" ht="31.5" customHeight="1">
      <c r="B5" s="640">
        <v>1</v>
      </c>
      <c r="C5" s="641" t="s">
        <v>814</v>
      </c>
      <c r="D5" s="642"/>
      <c r="E5" s="643"/>
      <c r="F5" s="636"/>
    </row>
    <row r="6" spans="2:6" ht="30.75" customHeight="1">
      <c r="B6" s="754" t="s">
        <v>739</v>
      </c>
      <c r="C6" s="755" t="s">
        <v>815</v>
      </c>
      <c r="D6" s="756"/>
      <c r="E6" s="757"/>
      <c r="F6" s="636"/>
    </row>
    <row r="7" spans="2:6" ht="27" customHeight="1">
      <c r="B7" s="644" t="s">
        <v>741</v>
      </c>
      <c r="C7" s="645" t="s">
        <v>816</v>
      </c>
      <c r="D7" s="646"/>
      <c r="E7" s="647"/>
      <c r="F7" s="636"/>
    </row>
    <row r="8" spans="2:6" ht="27" customHeight="1">
      <c r="B8" s="644"/>
      <c r="C8" s="648" t="s">
        <v>817</v>
      </c>
      <c r="D8" s="649"/>
      <c r="E8" s="647"/>
      <c r="F8" s="636"/>
    </row>
    <row r="9" spans="2:6" ht="27.75" customHeight="1">
      <c r="B9" s="644" t="s">
        <v>743</v>
      </c>
      <c r="C9" s="645" t="s">
        <v>818</v>
      </c>
      <c r="D9" s="650"/>
      <c r="E9" s="651"/>
      <c r="F9" s="636"/>
    </row>
    <row r="10" spans="2:6" ht="29.25" customHeight="1">
      <c r="B10" s="644" t="s">
        <v>745</v>
      </c>
      <c r="C10" s="645" t="s">
        <v>819</v>
      </c>
      <c r="D10" s="646"/>
      <c r="E10" s="647"/>
      <c r="F10" s="636"/>
    </row>
    <row r="11" spans="2:6" ht="29.25" customHeight="1">
      <c r="B11" s="644" t="s">
        <v>747</v>
      </c>
      <c r="C11" s="645" t="s">
        <v>820</v>
      </c>
      <c r="D11" s="646"/>
      <c r="E11" s="647"/>
      <c r="F11" s="636"/>
    </row>
    <row r="12" spans="2:6" ht="30.75" customHeight="1">
      <c r="B12" s="644" t="s">
        <v>749</v>
      </c>
      <c r="C12" s="645" t="s">
        <v>821</v>
      </c>
      <c r="D12" s="646"/>
      <c r="E12" s="647"/>
      <c r="F12" s="636"/>
    </row>
    <row r="13" spans="2:6" ht="33" customHeight="1">
      <c r="B13" s="1099" t="s">
        <v>822</v>
      </c>
      <c r="C13" s="1100"/>
      <c r="D13" s="652"/>
      <c r="E13" s="653">
        <f>SUM(E6:E12)</f>
        <v>0</v>
      </c>
      <c r="F13" s="636"/>
    </row>
    <row r="14" spans="2:6" ht="33" customHeight="1">
      <c r="B14" s="654"/>
      <c r="C14" s="655" t="s">
        <v>823</v>
      </c>
      <c r="D14" s="646"/>
      <c r="E14" s="647"/>
      <c r="F14" s="636"/>
    </row>
    <row r="15" spans="2:6" ht="31.5" customHeight="1">
      <c r="B15" s="654" t="s">
        <v>751</v>
      </c>
      <c r="C15" s="656" t="s">
        <v>824</v>
      </c>
      <c r="D15" s="646"/>
      <c r="E15" s="657"/>
      <c r="F15" s="636"/>
    </row>
    <row r="16" spans="2:6" ht="31.5" customHeight="1">
      <c r="B16" s="654" t="s">
        <v>755</v>
      </c>
      <c r="C16" s="658" t="s">
        <v>825</v>
      </c>
      <c r="D16" s="646"/>
      <c r="E16" s="657"/>
      <c r="F16" s="636"/>
    </row>
    <row r="17" spans="2:8" ht="33.75" customHeight="1">
      <c r="B17" s="640">
        <v>1</v>
      </c>
      <c r="C17" s="659" t="s">
        <v>826</v>
      </c>
      <c r="D17" s="660"/>
      <c r="E17" s="661">
        <f>E13+E15</f>
        <v>0</v>
      </c>
      <c r="F17" s="636"/>
    </row>
    <row r="18" spans="2:8" ht="33.75" customHeight="1">
      <c r="B18" s="640">
        <v>2</v>
      </c>
      <c r="C18" s="641" t="s">
        <v>827</v>
      </c>
      <c r="D18" s="642"/>
      <c r="E18" s="643"/>
      <c r="F18" s="636"/>
    </row>
    <row r="19" spans="2:8" ht="33.75" customHeight="1">
      <c r="B19" s="652"/>
      <c r="C19" s="662" t="s">
        <v>828</v>
      </c>
      <c r="D19" s="663"/>
      <c r="E19" s="664"/>
      <c r="F19" s="636"/>
    </row>
    <row r="20" spans="2:8" ht="33.75" customHeight="1">
      <c r="B20" s="665" t="s">
        <v>739</v>
      </c>
      <c r="C20" s="666" t="s">
        <v>829</v>
      </c>
      <c r="D20" s="667"/>
      <c r="E20" s="668"/>
      <c r="F20" s="636"/>
    </row>
    <row r="21" spans="2:8" ht="33.75" customHeight="1">
      <c r="B21" s="665" t="s">
        <v>741</v>
      </c>
      <c r="C21" s="666" t="s">
        <v>830</v>
      </c>
      <c r="D21" s="667"/>
      <c r="E21" s="669"/>
      <c r="F21" s="636"/>
      <c r="H21" s="670"/>
    </row>
    <row r="22" spans="2:8" ht="33.75" customHeight="1">
      <c r="B22" s="665" t="s">
        <v>743</v>
      </c>
      <c r="C22" s="666" t="s">
        <v>707</v>
      </c>
      <c r="D22" s="667"/>
      <c r="E22" s="668"/>
      <c r="F22" s="636"/>
    </row>
    <row r="23" spans="2:8" ht="33.75" customHeight="1">
      <c r="B23" s="665" t="s">
        <v>745</v>
      </c>
      <c r="C23" s="211" t="s">
        <v>831</v>
      </c>
      <c r="D23" s="667"/>
      <c r="E23" s="668"/>
      <c r="F23" s="636"/>
    </row>
    <row r="24" spans="2:8" ht="33.75" customHeight="1">
      <c r="B24" s="665" t="s">
        <v>747</v>
      </c>
      <c r="C24" s="211" t="s">
        <v>832</v>
      </c>
      <c r="D24" s="667"/>
      <c r="E24" s="668"/>
      <c r="F24" s="636"/>
    </row>
    <row r="25" spans="2:8" ht="33.75" customHeight="1">
      <c r="B25" s="665" t="s">
        <v>749</v>
      </c>
      <c r="C25" s="211" t="s">
        <v>833</v>
      </c>
      <c r="D25" s="667"/>
      <c r="E25" s="671"/>
      <c r="F25" s="636"/>
    </row>
    <row r="26" spans="2:8" ht="33.75" customHeight="1">
      <c r="B26" s="665" t="s">
        <v>751</v>
      </c>
      <c r="C26" s="211" t="s">
        <v>834</v>
      </c>
      <c r="D26" s="667"/>
      <c r="E26" s="671"/>
      <c r="F26" s="636"/>
    </row>
    <row r="27" spans="2:8" ht="33.75" customHeight="1">
      <c r="B27" s="672"/>
      <c r="C27" s="673" t="s">
        <v>835</v>
      </c>
      <c r="D27" s="674"/>
      <c r="E27" s="675">
        <f>SUM(E20:E26)</f>
        <v>0</v>
      </c>
      <c r="F27" s="636"/>
    </row>
    <row r="28" spans="2:8" ht="33.75" customHeight="1">
      <c r="B28" s="676"/>
      <c r="C28" s="662" t="s">
        <v>836</v>
      </c>
      <c r="D28" s="677"/>
      <c r="E28" s="678"/>
      <c r="F28" s="636"/>
    </row>
    <row r="29" spans="2:8" ht="33.75" customHeight="1">
      <c r="B29" s="679" t="s">
        <v>739</v>
      </c>
      <c r="C29" s="680" t="s">
        <v>837</v>
      </c>
      <c r="D29" s="667"/>
      <c r="E29" s="668">
        <f>D29*$E$13</f>
        <v>0</v>
      </c>
      <c r="F29" s="636"/>
    </row>
    <row r="30" spans="2:8" ht="51.75" customHeight="1">
      <c r="B30" s="679" t="s">
        <v>741</v>
      </c>
      <c r="C30" s="680" t="s">
        <v>838</v>
      </c>
      <c r="D30" s="681"/>
      <c r="E30" s="668">
        <f t="shared" ref="E30:E36" si="0">D30*$E$13</f>
        <v>0</v>
      </c>
      <c r="F30" s="636"/>
    </row>
    <row r="31" spans="2:8" ht="51" customHeight="1">
      <c r="B31" s="679" t="s">
        <v>743</v>
      </c>
      <c r="C31" s="682" t="s">
        <v>1319</v>
      </c>
      <c r="D31" s="681"/>
      <c r="E31" s="668">
        <f t="shared" si="0"/>
        <v>0</v>
      </c>
      <c r="F31" s="636"/>
    </row>
    <row r="32" spans="2:8" ht="33.75" customHeight="1">
      <c r="B32" s="679" t="s">
        <v>745</v>
      </c>
      <c r="C32" s="680" t="s">
        <v>839</v>
      </c>
      <c r="D32" s="681"/>
      <c r="E32" s="668">
        <f t="shared" si="0"/>
        <v>0</v>
      </c>
      <c r="F32" s="636"/>
    </row>
    <row r="33" spans="2:6" ht="33.75" customHeight="1">
      <c r="B33" s="679" t="s">
        <v>747</v>
      </c>
      <c r="C33" s="680" t="s">
        <v>840</v>
      </c>
      <c r="D33" s="681"/>
      <c r="E33" s="668">
        <f t="shared" si="0"/>
        <v>0</v>
      </c>
      <c r="F33" s="636"/>
    </row>
    <row r="34" spans="2:6" ht="33.75" customHeight="1">
      <c r="B34" s="683" t="s">
        <v>749</v>
      </c>
      <c r="C34" s="684" t="s">
        <v>841</v>
      </c>
      <c r="D34" s="685"/>
      <c r="E34" s="668">
        <f t="shared" si="0"/>
        <v>0</v>
      </c>
      <c r="F34" s="636"/>
    </row>
    <row r="35" spans="2:6" ht="33.75" customHeight="1">
      <c r="B35" s="679" t="s">
        <v>751</v>
      </c>
      <c r="C35" s="680" t="s">
        <v>842</v>
      </c>
      <c r="D35" s="681"/>
      <c r="E35" s="668">
        <f t="shared" si="0"/>
        <v>0</v>
      </c>
      <c r="F35" s="636"/>
    </row>
    <row r="36" spans="2:6" ht="33.75" customHeight="1">
      <c r="B36" s="679" t="s">
        <v>755</v>
      </c>
      <c r="C36" s="680" t="s">
        <v>843</v>
      </c>
      <c r="D36" s="685"/>
      <c r="E36" s="668">
        <f t="shared" si="0"/>
        <v>0</v>
      </c>
      <c r="F36" s="636"/>
    </row>
    <row r="37" spans="2:6" ht="33.75" customHeight="1">
      <c r="B37" s="686"/>
      <c r="C37" s="673" t="s">
        <v>844</v>
      </c>
      <c r="D37" s="674"/>
      <c r="E37" s="675">
        <f>SUM(E29:E36)</f>
        <v>0</v>
      </c>
      <c r="F37" s="636"/>
    </row>
    <row r="38" spans="2:6" ht="33.75" customHeight="1">
      <c r="B38" s="676"/>
      <c r="C38" s="662" t="s">
        <v>845</v>
      </c>
      <c r="D38" s="677"/>
      <c r="E38" s="687"/>
      <c r="F38" s="636"/>
    </row>
    <row r="39" spans="2:6" ht="33.75" customHeight="1">
      <c r="B39" s="644" t="s">
        <v>739</v>
      </c>
      <c r="C39" s="688" t="s">
        <v>759</v>
      </c>
      <c r="D39" s="646"/>
      <c r="E39" s="647">
        <f>D39*$E$13</f>
        <v>0</v>
      </c>
      <c r="F39" s="636"/>
    </row>
    <row r="40" spans="2:6" ht="33.75" customHeight="1" thickBot="1">
      <c r="B40" s="689" t="s">
        <v>741</v>
      </c>
      <c r="C40" s="690" t="s">
        <v>762</v>
      </c>
      <c r="D40" s="691"/>
      <c r="E40" s="647">
        <f>D40*$E$13</f>
        <v>0</v>
      </c>
      <c r="F40" s="636"/>
    </row>
    <row r="41" spans="2:6" ht="33.75" customHeight="1" thickBot="1">
      <c r="B41" s="692" t="s">
        <v>743</v>
      </c>
      <c r="C41" s="693" t="s">
        <v>846</v>
      </c>
      <c r="D41" s="694"/>
      <c r="E41" s="695">
        <f>D41*E13</f>
        <v>0</v>
      </c>
      <c r="F41" s="636"/>
    </row>
    <row r="42" spans="2:6" ht="33.75" customHeight="1">
      <c r="B42" s="212" t="s">
        <v>745</v>
      </c>
      <c r="C42" s="213" t="s">
        <v>768</v>
      </c>
      <c r="D42" s="214"/>
      <c r="E42" s="696">
        <f>D42*E13</f>
        <v>0</v>
      </c>
      <c r="F42" s="636"/>
    </row>
    <row r="43" spans="2:6" ht="31.5" customHeight="1">
      <c r="B43" s="686"/>
      <c r="C43" s="673" t="s">
        <v>847</v>
      </c>
      <c r="D43" s="674"/>
      <c r="E43" s="675">
        <f>SUM(E39:E42)</f>
        <v>0</v>
      </c>
      <c r="F43" s="636"/>
    </row>
    <row r="44" spans="2:6" ht="33.75" customHeight="1">
      <c r="B44" s="686"/>
      <c r="C44" s="672" t="s">
        <v>848</v>
      </c>
      <c r="D44" s="677"/>
      <c r="E44" s="678"/>
      <c r="F44" s="636"/>
    </row>
    <row r="45" spans="2:6" ht="33.75" customHeight="1" thickBot="1">
      <c r="B45" s="697" t="s">
        <v>739</v>
      </c>
      <c r="C45" s="698" t="s">
        <v>849</v>
      </c>
      <c r="D45" s="699"/>
      <c r="E45" s="700">
        <f>D45*E13</f>
        <v>0</v>
      </c>
      <c r="F45" s="636"/>
    </row>
    <row r="46" spans="2:6" ht="33" customHeight="1" thickBot="1">
      <c r="B46" s="701" t="s">
        <v>741</v>
      </c>
      <c r="C46" s="702" t="s">
        <v>850</v>
      </c>
      <c r="D46" s="703"/>
      <c r="E46" s="704">
        <f>D46*E13</f>
        <v>0</v>
      </c>
      <c r="F46" s="636"/>
    </row>
    <row r="47" spans="2:6" ht="34.5" customHeight="1">
      <c r="B47" s="705"/>
      <c r="C47" s="706" t="s">
        <v>851</v>
      </c>
      <c r="D47" s="707"/>
      <c r="E47" s="708">
        <f>E45+E46</f>
        <v>0</v>
      </c>
      <c r="F47" s="636"/>
    </row>
    <row r="48" spans="2:6" ht="39.75" customHeight="1">
      <c r="B48" s="640">
        <v>2</v>
      </c>
      <c r="C48" s="659" t="s">
        <v>852</v>
      </c>
      <c r="D48" s="660"/>
      <c r="E48" s="661">
        <f>E27+E37+E43+E47</f>
        <v>0</v>
      </c>
      <c r="F48" s="636"/>
    </row>
    <row r="49" spans="2:6" ht="33" customHeight="1">
      <c r="B49" s="640">
        <v>3</v>
      </c>
      <c r="C49" s="641" t="s">
        <v>853</v>
      </c>
      <c r="D49" s="642"/>
      <c r="E49" s="643"/>
      <c r="F49" s="636"/>
    </row>
    <row r="50" spans="2:6" ht="39" customHeight="1">
      <c r="B50" s="644" t="s">
        <v>739</v>
      </c>
      <c r="C50" s="688" t="s">
        <v>777</v>
      </c>
      <c r="D50" s="646"/>
      <c r="E50" s="647">
        <f>D50*E13</f>
        <v>0</v>
      </c>
      <c r="F50" s="636"/>
    </row>
    <row r="51" spans="2:6" ht="39" customHeight="1" thickBot="1">
      <c r="B51" s="709" t="s">
        <v>741</v>
      </c>
      <c r="C51" s="710" t="s">
        <v>780</v>
      </c>
      <c r="D51" s="711"/>
      <c r="E51" s="647">
        <f>D51*E13</f>
        <v>0</v>
      </c>
      <c r="F51" s="636"/>
    </row>
    <row r="52" spans="2:6" ht="35.25" customHeight="1" thickBot="1">
      <c r="B52" s="692" t="s">
        <v>743</v>
      </c>
      <c r="C52" s="712" t="s">
        <v>1320</v>
      </c>
      <c r="D52" s="713"/>
      <c r="E52" s="695">
        <f>D52*E13</f>
        <v>0</v>
      </c>
      <c r="F52" s="636"/>
    </row>
    <row r="53" spans="2:6" ht="31.5" customHeight="1">
      <c r="B53" s="714" t="s">
        <v>745</v>
      </c>
      <c r="C53" s="715" t="s">
        <v>854</v>
      </c>
      <c r="D53" s="716"/>
      <c r="E53" s="696">
        <f>D53*E13</f>
        <v>0</v>
      </c>
      <c r="F53" s="636"/>
    </row>
    <row r="54" spans="2:6" ht="31.5" customHeight="1">
      <c r="B54" s="644" t="s">
        <v>747</v>
      </c>
      <c r="C54" s="645" t="s">
        <v>855</v>
      </c>
      <c r="D54" s="691"/>
      <c r="E54" s="647">
        <f>D54*E13</f>
        <v>0</v>
      </c>
      <c r="F54" s="636"/>
    </row>
    <row r="55" spans="2:6" ht="29.25" customHeight="1">
      <c r="B55" s="679" t="s">
        <v>749</v>
      </c>
      <c r="C55" s="680" t="s">
        <v>856</v>
      </c>
      <c r="D55" s="691"/>
      <c r="E55" s="647">
        <f>D55*E13</f>
        <v>0</v>
      </c>
      <c r="F55" s="636"/>
    </row>
    <row r="56" spans="2:6" ht="32.25" customHeight="1">
      <c r="B56" s="640">
        <v>3</v>
      </c>
      <c r="C56" s="717" t="s">
        <v>857</v>
      </c>
      <c r="D56" s="718"/>
      <c r="E56" s="719">
        <f>SUM(E50:E55)</f>
        <v>0</v>
      </c>
      <c r="F56" s="636"/>
    </row>
    <row r="57" spans="2:6" ht="33" customHeight="1">
      <c r="B57" s="640">
        <v>4</v>
      </c>
      <c r="C57" s="641" t="s">
        <v>858</v>
      </c>
      <c r="D57" s="642"/>
      <c r="E57" s="643"/>
      <c r="F57" s="636"/>
    </row>
    <row r="58" spans="2:6" ht="33" customHeight="1">
      <c r="B58" s="679" t="s">
        <v>739</v>
      </c>
      <c r="C58" s="720" t="s">
        <v>789</v>
      </c>
      <c r="D58" s="667"/>
      <c r="E58" s="668">
        <f>D58*$E$13</f>
        <v>0</v>
      </c>
      <c r="F58" s="636"/>
    </row>
    <row r="59" spans="2:6" ht="30.75" customHeight="1">
      <c r="B59" s="679" t="s">
        <v>741</v>
      </c>
      <c r="C59" s="721" t="s">
        <v>859</v>
      </c>
      <c r="D59" s="667"/>
      <c r="E59" s="668">
        <f t="shared" ref="E59:E61" si="1">D59*$E$13</f>
        <v>0</v>
      </c>
      <c r="F59" s="636"/>
    </row>
    <row r="60" spans="2:6" ht="35.25" customHeight="1">
      <c r="B60" s="679" t="s">
        <v>743</v>
      </c>
      <c r="C60" s="721" t="s">
        <v>792</v>
      </c>
      <c r="D60" s="667"/>
      <c r="E60" s="668">
        <f t="shared" si="1"/>
        <v>0</v>
      </c>
      <c r="F60" s="636"/>
    </row>
    <row r="61" spans="2:6" ht="29.25" customHeight="1" thickBot="1">
      <c r="B61" s="697" t="s">
        <v>745</v>
      </c>
      <c r="C61" s="722" t="s">
        <v>793</v>
      </c>
      <c r="D61" s="699"/>
      <c r="E61" s="668">
        <f t="shared" si="1"/>
        <v>0</v>
      </c>
      <c r="F61" s="723"/>
    </row>
    <row r="62" spans="2:6" ht="36" customHeight="1" thickBot="1">
      <c r="B62" s="701" t="s">
        <v>747</v>
      </c>
      <c r="C62" s="724" t="s">
        <v>795</v>
      </c>
      <c r="D62" s="694"/>
      <c r="E62" s="704">
        <f>D62*E13</f>
        <v>0</v>
      </c>
      <c r="F62" s="636"/>
    </row>
    <row r="63" spans="2:6" ht="39" customHeight="1">
      <c r="B63" s="725" t="s">
        <v>749</v>
      </c>
      <c r="C63" s="726" t="s">
        <v>860</v>
      </c>
      <c r="D63" s="727"/>
      <c r="E63" s="728">
        <f>D63*E13</f>
        <v>0</v>
      </c>
      <c r="F63" s="729"/>
    </row>
    <row r="64" spans="2:6" ht="38.25" customHeight="1" thickBot="1">
      <c r="B64" s="697" t="s">
        <v>751</v>
      </c>
      <c r="C64" s="730" t="s">
        <v>797</v>
      </c>
      <c r="D64" s="699"/>
      <c r="E64" s="700">
        <f>D64*E13</f>
        <v>0</v>
      </c>
      <c r="F64" s="636"/>
    </row>
    <row r="65" spans="2:8" ht="37.5" customHeight="1" thickBot="1">
      <c r="B65" s="701" t="s">
        <v>755</v>
      </c>
      <c r="C65" s="724" t="s">
        <v>861</v>
      </c>
      <c r="D65" s="703"/>
      <c r="E65" s="704">
        <f>D65*E13</f>
        <v>0</v>
      </c>
      <c r="F65" s="636"/>
    </row>
    <row r="66" spans="2:8" ht="36" customHeight="1">
      <c r="B66" s="731">
        <v>4</v>
      </c>
      <c r="C66" s="732" t="s">
        <v>862</v>
      </c>
      <c r="D66" s="733"/>
      <c r="E66" s="734">
        <f>SUM(E58:E65)</f>
        <v>0</v>
      </c>
      <c r="F66" s="636"/>
    </row>
    <row r="67" spans="2:8" ht="36" customHeight="1">
      <c r="B67" s="1101" t="s">
        <v>863</v>
      </c>
      <c r="C67" s="1102"/>
      <c r="D67" s="735"/>
      <c r="E67" s="736">
        <f>E37+E43+E47+E56+E66</f>
        <v>0</v>
      </c>
      <c r="F67" s="636"/>
      <c r="H67" s="737"/>
    </row>
    <row r="68" spans="2:8" ht="36.75" customHeight="1">
      <c r="B68" s="640">
        <v>5</v>
      </c>
      <c r="C68" s="641" t="s">
        <v>864</v>
      </c>
      <c r="D68" s="642"/>
      <c r="E68" s="643"/>
      <c r="F68" s="636"/>
    </row>
    <row r="69" spans="2:8" ht="32.25" customHeight="1">
      <c r="B69" s="679" t="s">
        <v>739</v>
      </c>
      <c r="C69" s="680" t="s">
        <v>865</v>
      </c>
      <c r="D69" s="667"/>
      <c r="E69" s="215"/>
      <c r="F69" s="636"/>
    </row>
    <row r="70" spans="2:8" ht="28.5" customHeight="1">
      <c r="B70" s="679" t="s">
        <v>741</v>
      </c>
      <c r="C70" s="680" t="s">
        <v>866</v>
      </c>
      <c r="D70" s="738"/>
      <c r="E70" s="668"/>
      <c r="F70" s="636"/>
    </row>
    <row r="71" spans="2:8" ht="30" customHeight="1">
      <c r="B71" s="679" t="s">
        <v>743</v>
      </c>
      <c r="C71" s="680" t="s">
        <v>867</v>
      </c>
      <c r="D71" s="738"/>
      <c r="E71" s="668"/>
      <c r="F71" s="636"/>
    </row>
    <row r="72" spans="2:8" ht="32.25" customHeight="1">
      <c r="B72" s="640">
        <v>5</v>
      </c>
      <c r="C72" s="659" t="s">
        <v>868</v>
      </c>
      <c r="D72" s="660"/>
      <c r="E72" s="739">
        <f>SUM(E69:E71)</f>
        <v>0</v>
      </c>
      <c r="F72" s="636"/>
    </row>
    <row r="73" spans="2:8" ht="33" customHeight="1">
      <c r="B73" s="1103" t="s">
        <v>869</v>
      </c>
      <c r="C73" s="1104"/>
      <c r="D73" s="740"/>
      <c r="E73" s="741">
        <f>E17+E48+E56+E66+E72</f>
        <v>0</v>
      </c>
      <c r="F73" s="636"/>
    </row>
    <row r="74" spans="2:8" ht="39" customHeight="1">
      <c r="B74" s="742" t="s">
        <v>15</v>
      </c>
      <c r="C74" s="1105"/>
      <c r="D74" s="1106"/>
      <c r="E74" s="1106"/>
      <c r="F74" s="636"/>
    </row>
    <row r="75" spans="2:8" ht="81.75" customHeight="1">
      <c r="B75" s="743" t="s">
        <v>870</v>
      </c>
      <c r="C75" s="1089" t="s">
        <v>871</v>
      </c>
      <c r="D75" s="1090"/>
      <c r="E75" s="1091"/>
      <c r="F75" s="636"/>
    </row>
    <row r="76" spans="2:8" ht="43.5" customHeight="1">
      <c r="B76" s="753" t="s">
        <v>872</v>
      </c>
      <c r="C76" s="1092" t="s">
        <v>1321</v>
      </c>
      <c r="D76" s="1093"/>
      <c r="E76" s="1094"/>
      <c r="F76" s="636"/>
    </row>
    <row r="77" spans="2:8" ht="40.5" customHeight="1">
      <c r="B77" s="743" t="s">
        <v>873</v>
      </c>
      <c r="C77" s="1089" t="s">
        <v>874</v>
      </c>
      <c r="D77" s="1090"/>
      <c r="E77" s="1091"/>
      <c r="F77" s="636"/>
    </row>
    <row r="78" spans="2:8" ht="51.75" customHeight="1">
      <c r="B78" s="744" t="s">
        <v>875</v>
      </c>
      <c r="C78" s="1089" t="s">
        <v>876</v>
      </c>
      <c r="D78" s="1090"/>
      <c r="E78" s="1091"/>
      <c r="F78" s="636"/>
    </row>
    <row r="79" spans="2:8" ht="33" customHeight="1">
      <c r="B79" s="745"/>
      <c r="C79" s="746"/>
      <c r="D79" s="747"/>
      <c r="E79" s="748"/>
      <c r="F79" s="636"/>
    </row>
    <row r="80" spans="2:8" ht="33" customHeight="1">
      <c r="B80" s="745"/>
      <c r="C80" s="746"/>
      <c r="D80" s="747"/>
      <c r="E80" s="748"/>
      <c r="F80" s="636"/>
    </row>
    <row r="81" spans="2:6" ht="33" customHeight="1">
      <c r="B81" s="745"/>
      <c r="C81" s="746"/>
      <c r="D81" s="747"/>
      <c r="E81" s="748"/>
      <c r="F81" s="636"/>
    </row>
    <row r="82" spans="2:6" ht="33" customHeight="1">
      <c r="B82" s="745"/>
      <c r="C82" s="746"/>
      <c r="D82" s="747"/>
      <c r="E82" s="748"/>
      <c r="F82" s="636"/>
    </row>
    <row r="83" spans="2:6" ht="33" customHeight="1">
      <c r="B83" s="745"/>
      <c r="C83" s="746"/>
      <c r="D83" s="747"/>
      <c r="E83" s="748"/>
      <c r="F83" s="636"/>
    </row>
    <row r="84" spans="2:6" ht="33" customHeight="1">
      <c r="B84" s="745"/>
      <c r="C84" s="746"/>
      <c r="D84" s="747"/>
      <c r="E84" s="748"/>
      <c r="F84" s="636"/>
    </row>
    <row r="85" spans="2:6" ht="33" customHeight="1">
      <c r="B85" s="745"/>
      <c r="C85" s="746"/>
      <c r="D85" s="747"/>
      <c r="E85" s="748"/>
      <c r="F85" s="636"/>
    </row>
    <row r="86" spans="2:6" ht="33" customHeight="1">
      <c r="B86" s="745"/>
      <c r="C86" s="746"/>
      <c r="D86" s="747"/>
      <c r="E86" s="748"/>
      <c r="F86" s="636"/>
    </row>
    <row r="87" spans="2:6" ht="33" customHeight="1">
      <c r="B87" s="745"/>
      <c r="C87" s="746"/>
      <c r="D87" s="747"/>
      <c r="E87" s="748"/>
      <c r="F87" s="63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1349"/>
  <sheetViews>
    <sheetView showGridLines="0" topLeftCell="A134" zoomScale="80" zoomScaleNormal="80" workbookViewId="0">
      <selection activeCell="G163" sqref="G163"/>
    </sheetView>
  </sheetViews>
  <sheetFormatPr defaultRowHeight="15"/>
  <cols>
    <col min="1" max="1" width="45.42578125" style="511" customWidth="1"/>
    <col min="2" max="2" width="22.140625" style="512" customWidth="1"/>
    <col min="3" max="3" width="11.85546875" style="513" bestFit="1" customWidth="1"/>
    <col min="4" max="4" width="12.28515625" style="513" customWidth="1"/>
    <col min="5" max="5" width="13" style="513" bestFit="1" customWidth="1"/>
    <col min="6" max="6" width="88.85546875" style="508" customWidth="1"/>
    <col min="7" max="7" width="35.5703125" style="511" bestFit="1" customWidth="1"/>
    <col min="8" max="8" width="17" style="512" bestFit="1" customWidth="1"/>
    <col min="9" max="9" width="26.28515625" style="511" bestFit="1" customWidth="1"/>
    <col min="10" max="10" width="12" style="511" customWidth="1"/>
    <col min="11" max="11" width="22.85546875" style="510" customWidth="1"/>
    <col min="12" max="12" width="12" style="510" customWidth="1"/>
    <col min="13" max="13" width="87.42578125" style="509" customWidth="1"/>
    <col min="14" max="16384" width="9.140625" style="508"/>
  </cols>
  <sheetData>
    <row r="1" spans="1:13" ht="21">
      <c r="A1" s="598" t="s">
        <v>28</v>
      </c>
      <c r="B1" s="597"/>
      <c r="G1" s="510"/>
    </row>
    <row r="2" spans="1:13" s="596" customFormat="1" ht="18.75">
      <c r="A2" s="596" t="s">
        <v>29</v>
      </c>
    </row>
    <row r="3" spans="1:13" ht="21">
      <c r="A3" s="598" t="s">
        <v>30</v>
      </c>
      <c r="B3" s="597"/>
      <c r="G3" s="510"/>
    </row>
    <row r="4" spans="1:13" ht="18.75">
      <c r="A4" s="596" t="s">
        <v>31</v>
      </c>
      <c r="B4" s="595"/>
      <c r="G4" s="510"/>
    </row>
    <row r="5" spans="1:13" ht="18.75">
      <c r="A5" s="596" t="s">
        <v>32</v>
      </c>
      <c r="B5" s="595"/>
      <c r="G5" s="510"/>
    </row>
    <row r="6" spans="1:13" ht="18.75">
      <c r="A6" s="596" t="s">
        <v>33</v>
      </c>
      <c r="B6" s="595"/>
      <c r="G6" s="510"/>
    </row>
    <row r="7" spans="1:13" ht="18.75">
      <c r="A7" s="596" t="s">
        <v>34</v>
      </c>
      <c r="B7" s="595"/>
      <c r="G7" s="510"/>
    </row>
    <row r="8" spans="1:13" ht="21">
      <c r="A8" s="594" t="s">
        <v>1251</v>
      </c>
      <c r="B8" s="593"/>
      <c r="G8" s="510"/>
    </row>
    <row r="9" spans="1:13" ht="18.75" customHeight="1">
      <c r="A9" s="777" t="s">
        <v>35</v>
      </c>
      <c r="B9" s="777"/>
      <c r="C9" s="777"/>
      <c r="D9" s="777"/>
      <c r="E9" s="777"/>
      <c r="F9" s="777"/>
      <c r="G9" s="777"/>
      <c r="H9" s="777"/>
      <c r="I9" s="777"/>
      <c r="J9" s="777"/>
      <c r="K9" s="777"/>
      <c r="L9" s="777"/>
      <c r="M9" s="777"/>
    </row>
    <row r="10" spans="1:13" ht="36.75" customHeight="1">
      <c r="A10" s="587" t="s">
        <v>36</v>
      </c>
      <c r="B10" s="587" t="s">
        <v>37</v>
      </c>
      <c r="C10" s="592" t="s">
        <v>38</v>
      </c>
      <c r="D10" s="592" t="s">
        <v>39</v>
      </c>
      <c r="E10" s="591" t="s">
        <v>40</v>
      </c>
      <c r="F10" s="590" t="s">
        <v>41</v>
      </c>
      <c r="G10" s="589" t="s">
        <v>42</v>
      </c>
      <c r="H10" s="587" t="s">
        <v>43</v>
      </c>
      <c r="I10" s="588" t="s">
        <v>44</v>
      </c>
      <c r="J10" s="587" t="s">
        <v>45</v>
      </c>
      <c r="K10" s="586" t="s">
        <v>46</v>
      </c>
      <c r="L10" s="585" t="s">
        <v>47</v>
      </c>
      <c r="M10" s="585" t="s">
        <v>48</v>
      </c>
    </row>
    <row r="11" spans="1:13">
      <c r="A11" s="516" t="s">
        <v>49</v>
      </c>
      <c r="B11" s="517" t="s">
        <v>50</v>
      </c>
      <c r="C11" s="519" t="s">
        <v>51</v>
      </c>
      <c r="D11" s="519" t="s">
        <v>52</v>
      </c>
      <c r="E11" s="519" t="s">
        <v>53</v>
      </c>
      <c r="F11" s="518" t="s">
        <v>54</v>
      </c>
      <c r="G11" s="583" t="s">
        <v>55</v>
      </c>
      <c r="H11" s="542" t="s">
        <v>56</v>
      </c>
      <c r="I11" s="541" t="s">
        <v>57</v>
      </c>
      <c r="J11" s="542" t="s">
        <v>58</v>
      </c>
      <c r="K11" s="540" t="s">
        <v>59</v>
      </c>
      <c r="L11" s="521">
        <v>11.05</v>
      </c>
      <c r="M11" s="520" t="s">
        <v>60</v>
      </c>
    </row>
    <row r="12" spans="1:13">
      <c r="A12" s="516" t="s">
        <v>49</v>
      </c>
      <c r="B12" s="517" t="s">
        <v>50</v>
      </c>
      <c r="C12" s="519" t="s">
        <v>63</v>
      </c>
      <c r="D12" s="519" t="s">
        <v>61</v>
      </c>
      <c r="E12" s="519" t="s">
        <v>53</v>
      </c>
      <c r="F12" s="518" t="s">
        <v>64</v>
      </c>
      <c r="G12" s="583" t="s">
        <v>55</v>
      </c>
      <c r="H12" s="542" t="s">
        <v>56</v>
      </c>
      <c r="I12" s="541" t="s">
        <v>57</v>
      </c>
      <c r="J12" s="542" t="s">
        <v>58</v>
      </c>
      <c r="K12" s="540" t="s">
        <v>59</v>
      </c>
      <c r="L12" s="521">
        <v>11.05</v>
      </c>
      <c r="M12" s="520" t="s">
        <v>60</v>
      </c>
    </row>
    <row r="13" spans="1:13">
      <c r="A13" s="516" t="s">
        <v>49</v>
      </c>
      <c r="B13" s="517" t="s">
        <v>50</v>
      </c>
      <c r="C13" s="519" t="s">
        <v>1250</v>
      </c>
      <c r="D13" s="519" t="s">
        <v>52</v>
      </c>
      <c r="E13" s="519" t="s">
        <v>53</v>
      </c>
      <c r="F13" s="518" t="s">
        <v>1249</v>
      </c>
      <c r="G13" s="583" t="s">
        <v>55</v>
      </c>
      <c r="H13" s="542" t="s">
        <v>56</v>
      </c>
      <c r="I13" s="541" t="s">
        <v>57</v>
      </c>
      <c r="J13" s="542" t="s">
        <v>58</v>
      </c>
      <c r="K13" s="540" t="s">
        <v>59</v>
      </c>
      <c r="L13" s="521">
        <v>11.05</v>
      </c>
      <c r="M13" s="520"/>
    </row>
    <row r="14" spans="1:13">
      <c r="A14" s="516" t="s">
        <v>49</v>
      </c>
      <c r="B14" s="517" t="s">
        <v>50</v>
      </c>
      <c r="C14" s="519" t="s">
        <v>65</v>
      </c>
      <c r="D14" s="519" t="s">
        <v>52</v>
      </c>
      <c r="E14" s="519" t="s">
        <v>53</v>
      </c>
      <c r="F14" s="518" t="s">
        <v>66</v>
      </c>
      <c r="G14" s="583" t="s">
        <v>55</v>
      </c>
      <c r="H14" s="542" t="s">
        <v>56</v>
      </c>
      <c r="I14" s="541" t="s">
        <v>57</v>
      </c>
      <c r="J14" s="542" t="s">
        <v>58</v>
      </c>
      <c r="K14" s="540" t="s">
        <v>59</v>
      </c>
      <c r="L14" s="521">
        <v>11.05</v>
      </c>
      <c r="M14" s="520" t="s">
        <v>60</v>
      </c>
    </row>
    <row r="15" spans="1:13">
      <c r="A15" s="516" t="s">
        <v>49</v>
      </c>
      <c r="B15" s="517" t="s">
        <v>50</v>
      </c>
      <c r="C15" s="519" t="s">
        <v>67</v>
      </c>
      <c r="D15" s="519" t="s">
        <v>52</v>
      </c>
      <c r="E15" s="519" t="s">
        <v>53</v>
      </c>
      <c r="F15" s="508" t="s">
        <v>68</v>
      </c>
      <c r="G15" s="583" t="s">
        <v>55</v>
      </c>
      <c r="H15" s="542" t="s">
        <v>56</v>
      </c>
      <c r="I15" s="541" t="s">
        <v>57</v>
      </c>
      <c r="J15" s="542" t="s">
        <v>58</v>
      </c>
      <c r="K15" s="540" t="s">
        <v>59</v>
      </c>
      <c r="L15" s="521">
        <v>11.05</v>
      </c>
      <c r="M15" s="520" t="s">
        <v>60</v>
      </c>
    </row>
    <row r="16" spans="1:13">
      <c r="A16" s="516" t="s">
        <v>49</v>
      </c>
      <c r="B16" s="517" t="s">
        <v>50</v>
      </c>
      <c r="C16" s="519" t="s">
        <v>69</v>
      </c>
      <c r="D16" s="519" t="s">
        <v>52</v>
      </c>
      <c r="E16" s="519" t="s">
        <v>53</v>
      </c>
      <c r="F16" s="518" t="s">
        <v>70</v>
      </c>
      <c r="G16" s="583" t="s">
        <v>55</v>
      </c>
      <c r="H16" s="542" t="s">
        <v>56</v>
      </c>
      <c r="I16" s="541" t="s">
        <v>57</v>
      </c>
      <c r="J16" s="542" t="s">
        <v>58</v>
      </c>
      <c r="K16" s="540" t="s">
        <v>59</v>
      </c>
      <c r="L16" s="521">
        <v>11.05</v>
      </c>
      <c r="M16" s="520" t="s">
        <v>60</v>
      </c>
    </row>
    <row r="17" spans="1:13">
      <c r="A17" s="516" t="s">
        <v>49</v>
      </c>
      <c r="B17" s="517" t="s">
        <v>50</v>
      </c>
      <c r="C17" s="519" t="s">
        <v>71</v>
      </c>
      <c r="D17" s="519" t="s">
        <v>52</v>
      </c>
      <c r="E17" s="519" t="s">
        <v>53</v>
      </c>
      <c r="F17" s="518" t="s">
        <v>72</v>
      </c>
      <c r="G17" s="583" t="s">
        <v>55</v>
      </c>
      <c r="H17" s="542" t="s">
        <v>56</v>
      </c>
      <c r="I17" s="541" t="s">
        <v>57</v>
      </c>
      <c r="J17" s="542" t="s">
        <v>58</v>
      </c>
      <c r="K17" s="540" t="s">
        <v>59</v>
      </c>
      <c r="L17" s="521">
        <v>11.05</v>
      </c>
      <c r="M17" s="520" t="s">
        <v>60</v>
      </c>
    </row>
    <row r="18" spans="1:13">
      <c r="A18" s="516" t="s">
        <v>49</v>
      </c>
      <c r="B18" s="517" t="s">
        <v>50</v>
      </c>
      <c r="C18" s="519" t="s">
        <v>73</v>
      </c>
      <c r="D18" s="519" t="s">
        <v>52</v>
      </c>
      <c r="E18" s="519" t="s">
        <v>53</v>
      </c>
      <c r="F18" s="518" t="s">
        <v>74</v>
      </c>
      <c r="G18" s="583" t="s">
        <v>55</v>
      </c>
      <c r="H18" s="542" t="s">
        <v>56</v>
      </c>
      <c r="I18" s="541" t="s">
        <v>57</v>
      </c>
      <c r="J18" s="542" t="s">
        <v>58</v>
      </c>
      <c r="K18" s="540" t="s">
        <v>59</v>
      </c>
      <c r="L18" s="521">
        <v>11.05</v>
      </c>
      <c r="M18" s="520" t="s">
        <v>60</v>
      </c>
    </row>
    <row r="19" spans="1:13">
      <c r="A19" s="516" t="s">
        <v>49</v>
      </c>
      <c r="B19" s="517" t="s">
        <v>50</v>
      </c>
      <c r="C19" s="519" t="s">
        <v>1248</v>
      </c>
      <c r="D19" s="519" t="s">
        <v>52</v>
      </c>
      <c r="E19" s="519" t="s">
        <v>53</v>
      </c>
      <c r="F19" s="518" t="s">
        <v>1247</v>
      </c>
      <c r="G19" s="583" t="s">
        <v>55</v>
      </c>
      <c r="H19" s="542" t="s">
        <v>56</v>
      </c>
      <c r="I19" s="541" t="s">
        <v>57</v>
      </c>
      <c r="J19" s="542" t="s">
        <v>58</v>
      </c>
      <c r="K19" s="540" t="s">
        <v>59</v>
      </c>
      <c r="L19" s="521">
        <v>11.05</v>
      </c>
      <c r="M19" s="520" t="s">
        <v>60</v>
      </c>
    </row>
    <row r="20" spans="1:13">
      <c r="A20" s="516" t="s">
        <v>49</v>
      </c>
      <c r="B20" s="517" t="s">
        <v>50</v>
      </c>
      <c r="C20" s="519" t="s">
        <v>75</v>
      </c>
      <c r="D20" s="519" t="s">
        <v>52</v>
      </c>
      <c r="E20" s="519" t="s">
        <v>53</v>
      </c>
      <c r="F20" s="518" t="s">
        <v>76</v>
      </c>
      <c r="G20" s="583" t="s">
        <v>55</v>
      </c>
      <c r="H20" s="542" t="s">
        <v>56</v>
      </c>
      <c r="I20" s="541" t="s">
        <v>57</v>
      </c>
      <c r="J20" s="542" t="s">
        <v>58</v>
      </c>
      <c r="K20" s="540" t="s">
        <v>59</v>
      </c>
      <c r="L20" s="521">
        <v>11.05</v>
      </c>
      <c r="M20" s="520" t="s">
        <v>60</v>
      </c>
    </row>
    <row r="21" spans="1:13">
      <c r="A21" s="516" t="s">
        <v>49</v>
      </c>
      <c r="B21" s="517" t="s">
        <v>50</v>
      </c>
      <c r="C21" s="519" t="s">
        <v>77</v>
      </c>
      <c r="D21" s="519" t="s">
        <v>52</v>
      </c>
      <c r="E21" s="519" t="s">
        <v>53</v>
      </c>
      <c r="F21" s="518" t="s">
        <v>78</v>
      </c>
      <c r="G21" s="583" t="s">
        <v>55</v>
      </c>
      <c r="H21" s="542" t="s">
        <v>56</v>
      </c>
      <c r="I21" s="541" t="s">
        <v>57</v>
      </c>
      <c r="J21" s="542" t="s">
        <v>58</v>
      </c>
      <c r="K21" s="540" t="s">
        <v>59</v>
      </c>
      <c r="L21" s="521">
        <v>11.05</v>
      </c>
      <c r="M21" s="520" t="s">
        <v>60</v>
      </c>
    </row>
    <row r="22" spans="1:13">
      <c r="A22" s="516" t="s">
        <v>49</v>
      </c>
      <c r="B22" s="517" t="s">
        <v>50</v>
      </c>
      <c r="C22" s="519" t="s">
        <v>79</v>
      </c>
      <c r="D22" s="519" t="s">
        <v>52</v>
      </c>
      <c r="E22" s="519" t="s">
        <v>53</v>
      </c>
      <c r="F22" s="518" t="s">
        <v>80</v>
      </c>
      <c r="G22" s="583" t="s">
        <v>55</v>
      </c>
      <c r="H22" s="542" t="s">
        <v>56</v>
      </c>
      <c r="I22" s="541" t="s">
        <v>57</v>
      </c>
      <c r="J22" s="542" t="s">
        <v>58</v>
      </c>
      <c r="K22" s="540" t="s">
        <v>59</v>
      </c>
      <c r="L22" s="521">
        <v>11.05</v>
      </c>
      <c r="M22" s="520" t="s">
        <v>60</v>
      </c>
    </row>
    <row r="23" spans="1:13">
      <c r="A23" s="516" t="s">
        <v>49</v>
      </c>
      <c r="B23" s="517" t="s">
        <v>50</v>
      </c>
      <c r="C23" s="519" t="s">
        <v>1246</v>
      </c>
      <c r="D23" s="519" t="s">
        <v>52</v>
      </c>
      <c r="E23" s="519" t="s">
        <v>53</v>
      </c>
      <c r="F23" s="518" t="s">
        <v>1245</v>
      </c>
      <c r="G23" s="583" t="s">
        <v>55</v>
      </c>
      <c r="H23" s="542" t="s">
        <v>56</v>
      </c>
      <c r="I23" s="541" t="s">
        <v>57</v>
      </c>
      <c r="J23" s="542" t="s">
        <v>58</v>
      </c>
      <c r="K23" s="540" t="s">
        <v>59</v>
      </c>
      <c r="L23" s="521">
        <v>11.05</v>
      </c>
      <c r="M23" s="520" t="s">
        <v>60</v>
      </c>
    </row>
    <row r="24" spans="1:13">
      <c r="A24" s="516" t="s">
        <v>49</v>
      </c>
      <c r="B24" s="517" t="s">
        <v>50</v>
      </c>
      <c r="C24" s="519" t="s">
        <v>81</v>
      </c>
      <c r="D24" s="519" t="s">
        <v>52</v>
      </c>
      <c r="E24" s="519" t="s">
        <v>53</v>
      </c>
      <c r="F24" s="518" t="s">
        <v>82</v>
      </c>
      <c r="G24" s="583" t="s">
        <v>55</v>
      </c>
      <c r="H24" s="542" t="s">
        <v>56</v>
      </c>
      <c r="I24" s="541" t="s">
        <v>57</v>
      </c>
      <c r="J24" s="542" t="s">
        <v>58</v>
      </c>
      <c r="K24" s="540" t="s">
        <v>59</v>
      </c>
      <c r="L24" s="521">
        <v>11.05</v>
      </c>
      <c r="M24" s="520" t="s">
        <v>60</v>
      </c>
    </row>
    <row r="25" spans="1:13">
      <c r="A25" s="516" t="s">
        <v>49</v>
      </c>
      <c r="B25" s="517" t="s">
        <v>50</v>
      </c>
      <c r="C25" s="519" t="s">
        <v>83</v>
      </c>
      <c r="D25" s="519" t="s">
        <v>52</v>
      </c>
      <c r="E25" s="519" t="s">
        <v>53</v>
      </c>
      <c r="F25" s="518" t="s">
        <v>84</v>
      </c>
      <c r="G25" s="583" t="s">
        <v>55</v>
      </c>
      <c r="H25" s="542" t="s">
        <v>56</v>
      </c>
      <c r="I25" s="541" t="s">
        <v>57</v>
      </c>
      <c r="J25" s="542" t="s">
        <v>58</v>
      </c>
      <c r="K25" s="540" t="s">
        <v>59</v>
      </c>
      <c r="L25" s="521">
        <v>11.05</v>
      </c>
      <c r="M25" s="520" t="s">
        <v>60</v>
      </c>
    </row>
    <row r="26" spans="1:13">
      <c r="A26" s="516" t="s">
        <v>49</v>
      </c>
      <c r="B26" s="517" t="s">
        <v>50</v>
      </c>
      <c r="C26" s="519" t="s">
        <v>85</v>
      </c>
      <c r="D26" s="519" t="s">
        <v>52</v>
      </c>
      <c r="E26" s="519" t="s">
        <v>53</v>
      </c>
      <c r="F26" s="518" t="s">
        <v>86</v>
      </c>
      <c r="G26" s="583" t="s">
        <v>55</v>
      </c>
      <c r="H26" s="542" t="s">
        <v>56</v>
      </c>
      <c r="I26" s="541" t="s">
        <v>57</v>
      </c>
      <c r="J26" s="542" t="s">
        <v>58</v>
      </c>
      <c r="K26" s="540" t="s">
        <v>59</v>
      </c>
      <c r="L26" s="521">
        <v>11.05</v>
      </c>
      <c r="M26" s="520" t="s">
        <v>60</v>
      </c>
    </row>
    <row r="27" spans="1:13">
      <c r="A27" s="516" t="s">
        <v>49</v>
      </c>
      <c r="B27" s="517" t="s">
        <v>50</v>
      </c>
      <c r="C27" s="519" t="s">
        <v>87</v>
      </c>
      <c r="D27" s="519" t="s">
        <v>52</v>
      </c>
      <c r="E27" s="519" t="s">
        <v>53</v>
      </c>
      <c r="F27" s="518" t="s">
        <v>88</v>
      </c>
      <c r="G27" s="583" t="s">
        <v>55</v>
      </c>
      <c r="H27" s="542" t="s">
        <v>56</v>
      </c>
      <c r="I27" s="541" t="s">
        <v>57</v>
      </c>
      <c r="J27" s="542" t="s">
        <v>58</v>
      </c>
      <c r="K27" s="540" t="s">
        <v>59</v>
      </c>
      <c r="L27" s="521">
        <v>11.05</v>
      </c>
      <c r="M27" s="520" t="s">
        <v>60</v>
      </c>
    </row>
    <row r="28" spans="1:13">
      <c r="A28" s="516" t="s">
        <v>49</v>
      </c>
      <c r="B28" s="517" t="s">
        <v>50</v>
      </c>
      <c r="C28" s="519" t="s">
        <v>89</v>
      </c>
      <c r="D28" s="519" t="s">
        <v>52</v>
      </c>
      <c r="E28" s="519" t="s">
        <v>53</v>
      </c>
      <c r="F28" s="518" t="s">
        <v>90</v>
      </c>
      <c r="G28" s="583" t="s">
        <v>55</v>
      </c>
      <c r="H28" s="542" t="s">
        <v>56</v>
      </c>
      <c r="I28" s="541" t="s">
        <v>57</v>
      </c>
      <c r="J28" s="542" t="s">
        <v>58</v>
      </c>
      <c r="K28" s="540" t="s">
        <v>59</v>
      </c>
      <c r="L28" s="521">
        <v>11.05</v>
      </c>
      <c r="M28" s="520" t="s">
        <v>60</v>
      </c>
    </row>
    <row r="29" spans="1:13">
      <c r="A29" s="516" t="s">
        <v>49</v>
      </c>
      <c r="B29" s="517" t="s">
        <v>50</v>
      </c>
      <c r="C29" s="519" t="s">
        <v>91</v>
      </c>
      <c r="D29" s="519" t="s">
        <v>52</v>
      </c>
      <c r="E29" s="519" t="s">
        <v>53</v>
      </c>
      <c r="F29" s="518" t="s">
        <v>92</v>
      </c>
      <c r="G29" s="583" t="s">
        <v>55</v>
      </c>
      <c r="H29" s="542" t="s">
        <v>56</v>
      </c>
      <c r="I29" s="541" t="s">
        <v>57</v>
      </c>
      <c r="J29" s="542" t="s">
        <v>58</v>
      </c>
      <c r="K29" s="540" t="s">
        <v>59</v>
      </c>
      <c r="L29" s="521">
        <v>11.05</v>
      </c>
      <c r="M29" s="520" t="s">
        <v>60</v>
      </c>
    </row>
    <row r="30" spans="1:13">
      <c r="A30" s="516" t="s">
        <v>49</v>
      </c>
      <c r="B30" s="517" t="s">
        <v>50</v>
      </c>
      <c r="C30" s="519" t="s">
        <v>93</v>
      </c>
      <c r="D30" s="519" t="s">
        <v>52</v>
      </c>
      <c r="E30" s="519" t="s">
        <v>53</v>
      </c>
      <c r="F30" s="518" t="s">
        <v>94</v>
      </c>
      <c r="G30" s="583" t="s">
        <v>55</v>
      </c>
      <c r="H30" s="542" t="s">
        <v>56</v>
      </c>
      <c r="I30" s="541" t="s">
        <v>57</v>
      </c>
      <c r="J30" s="542" t="s">
        <v>58</v>
      </c>
      <c r="K30" s="540" t="s">
        <v>59</v>
      </c>
      <c r="L30" s="521">
        <v>11.05</v>
      </c>
      <c r="M30" s="520" t="s">
        <v>60</v>
      </c>
    </row>
    <row r="31" spans="1:13">
      <c r="A31" s="516" t="s">
        <v>49</v>
      </c>
      <c r="B31" s="517" t="s">
        <v>50</v>
      </c>
      <c r="C31" s="519" t="s">
        <v>95</v>
      </c>
      <c r="D31" s="519" t="s">
        <v>52</v>
      </c>
      <c r="E31" s="519" t="s">
        <v>53</v>
      </c>
      <c r="F31" s="518" t="s">
        <v>96</v>
      </c>
      <c r="G31" s="583" t="s">
        <v>55</v>
      </c>
      <c r="H31" s="542" t="s">
        <v>56</v>
      </c>
      <c r="I31" s="541" t="s">
        <v>57</v>
      </c>
      <c r="J31" s="542" t="s">
        <v>58</v>
      </c>
      <c r="K31" s="540" t="s">
        <v>59</v>
      </c>
      <c r="L31" s="521">
        <v>11.05</v>
      </c>
      <c r="M31" s="520" t="s">
        <v>60</v>
      </c>
    </row>
    <row r="32" spans="1:13">
      <c r="A32" s="516" t="s">
        <v>49</v>
      </c>
      <c r="B32" s="517" t="s">
        <v>50</v>
      </c>
      <c r="C32" s="519" t="s">
        <v>97</v>
      </c>
      <c r="D32" s="519" t="s">
        <v>52</v>
      </c>
      <c r="E32" s="519" t="s">
        <v>53</v>
      </c>
      <c r="F32" s="518" t="s">
        <v>98</v>
      </c>
      <c r="G32" s="583" t="s">
        <v>55</v>
      </c>
      <c r="H32" s="542" t="s">
        <v>56</v>
      </c>
      <c r="I32" s="583" t="s">
        <v>99</v>
      </c>
      <c r="J32" s="542" t="s">
        <v>58</v>
      </c>
      <c r="K32" s="540" t="s">
        <v>59</v>
      </c>
      <c r="L32" s="521">
        <v>7.25</v>
      </c>
      <c r="M32" s="520" t="s">
        <v>60</v>
      </c>
    </row>
    <row r="33" spans="1:13">
      <c r="A33" s="516" t="s">
        <v>49</v>
      </c>
      <c r="B33" s="517" t="s">
        <v>50</v>
      </c>
      <c r="C33" s="519" t="s">
        <v>100</v>
      </c>
      <c r="D33" s="519" t="s">
        <v>52</v>
      </c>
      <c r="E33" s="519" t="s">
        <v>53</v>
      </c>
      <c r="F33" s="518" t="s">
        <v>101</v>
      </c>
      <c r="G33" s="583" t="s">
        <v>55</v>
      </c>
      <c r="H33" s="542" t="s">
        <v>56</v>
      </c>
      <c r="I33" s="583" t="s">
        <v>99</v>
      </c>
      <c r="J33" s="542" t="s">
        <v>58</v>
      </c>
      <c r="K33" s="540" t="s">
        <v>59</v>
      </c>
      <c r="L33" s="521">
        <v>7.25</v>
      </c>
      <c r="M33" s="520" t="s">
        <v>60</v>
      </c>
    </row>
    <row r="34" spans="1:13">
      <c r="A34" s="516" t="s">
        <v>49</v>
      </c>
      <c r="B34" s="517" t="s">
        <v>50</v>
      </c>
      <c r="C34" s="519" t="s">
        <v>102</v>
      </c>
      <c r="D34" s="519" t="s">
        <v>103</v>
      </c>
      <c r="E34" s="519" t="s">
        <v>53</v>
      </c>
      <c r="F34" s="518" t="s">
        <v>104</v>
      </c>
      <c r="G34" s="583" t="s">
        <v>55</v>
      </c>
      <c r="H34" s="542" t="s">
        <v>56</v>
      </c>
      <c r="I34" s="583" t="s">
        <v>55</v>
      </c>
      <c r="J34" s="542" t="s">
        <v>58</v>
      </c>
      <c r="K34" s="540" t="s">
        <v>59</v>
      </c>
      <c r="L34" s="521">
        <v>5.85</v>
      </c>
      <c r="M34" s="520" t="s">
        <v>60</v>
      </c>
    </row>
    <row r="35" spans="1:13">
      <c r="A35" s="516" t="s">
        <v>49</v>
      </c>
      <c r="B35" s="517" t="s">
        <v>50</v>
      </c>
      <c r="C35" s="519" t="s">
        <v>105</v>
      </c>
      <c r="D35" s="519" t="s">
        <v>103</v>
      </c>
      <c r="E35" s="519" t="s">
        <v>53</v>
      </c>
      <c r="F35" s="518" t="s">
        <v>106</v>
      </c>
      <c r="G35" s="583" t="s">
        <v>55</v>
      </c>
      <c r="H35" s="542" t="s">
        <v>56</v>
      </c>
      <c r="I35" s="583" t="s">
        <v>55</v>
      </c>
      <c r="J35" s="542" t="s">
        <v>58</v>
      </c>
      <c r="K35" s="540" t="s">
        <v>59</v>
      </c>
      <c r="L35" s="521">
        <v>5.85</v>
      </c>
      <c r="M35" s="520" t="s">
        <v>60</v>
      </c>
    </row>
    <row r="36" spans="1:13">
      <c r="A36" s="516" t="s">
        <v>49</v>
      </c>
      <c r="B36" s="517" t="s">
        <v>50</v>
      </c>
      <c r="C36" s="519" t="s">
        <v>107</v>
      </c>
      <c r="D36" s="519" t="s">
        <v>108</v>
      </c>
      <c r="E36" s="519" t="s">
        <v>53</v>
      </c>
      <c r="F36" s="518" t="s">
        <v>109</v>
      </c>
      <c r="G36" s="584" t="s">
        <v>110</v>
      </c>
      <c r="H36" s="542" t="s">
        <v>56</v>
      </c>
      <c r="I36" s="583" t="s">
        <v>55</v>
      </c>
      <c r="J36" s="542" t="s">
        <v>58</v>
      </c>
      <c r="K36" s="540" t="s">
        <v>59</v>
      </c>
      <c r="L36" s="521">
        <v>7.8</v>
      </c>
      <c r="M36" s="520" t="s">
        <v>60</v>
      </c>
    </row>
    <row r="37" spans="1:13">
      <c r="A37" s="516" t="s">
        <v>111</v>
      </c>
      <c r="B37" s="517" t="s">
        <v>112</v>
      </c>
      <c r="C37" s="519" t="s">
        <v>113</v>
      </c>
      <c r="D37" s="519" t="s">
        <v>113</v>
      </c>
      <c r="E37" s="519" t="s">
        <v>53</v>
      </c>
      <c r="F37" s="577" t="s">
        <v>114</v>
      </c>
      <c r="G37" s="575" t="s">
        <v>115</v>
      </c>
      <c r="H37" s="517" t="s">
        <v>116</v>
      </c>
      <c r="I37" s="575" t="s">
        <v>117</v>
      </c>
      <c r="J37" s="517" t="s">
        <v>118</v>
      </c>
      <c r="K37" s="574" t="s">
        <v>59</v>
      </c>
      <c r="L37" s="521">
        <v>1.75</v>
      </c>
      <c r="M37" s="520" t="s">
        <v>60</v>
      </c>
    </row>
    <row r="38" spans="1:13">
      <c r="A38" s="516" t="s">
        <v>119</v>
      </c>
      <c r="B38" s="517" t="s">
        <v>120</v>
      </c>
      <c r="C38" s="582" t="s">
        <v>121</v>
      </c>
      <c r="D38" s="582" t="s">
        <v>121</v>
      </c>
      <c r="E38" s="519" t="s">
        <v>53</v>
      </c>
      <c r="F38" s="518" t="s">
        <v>122</v>
      </c>
      <c r="G38" s="581" t="s">
        <v>123</v>
      </c>
      <c r="H38" s="570" t="s">
        <v>118</v>
      </c>
      <c r="I38" s="581" t="s">
        <v>124</v>
      </c>
      <c r="J38" s="570" t="s">
        <v>116</v>
      </c>
      <c r="K38" s="515" t="s">
        <v>59</v>
      </c>
      <c r="L38" s="521">
        <v>6.05</v>
      </c>
      <c r="M38" s="520" t="s">
        <v>60</v>
      </c>
    </row>
    <row r="39" spans="1:13">
      <c r="A39" s="516" t="s">
        <v>125</v>
      </c>
      <c r="B39" s="517" t="s">
        <v>126</v>
      </c>
      <c r="C39" s="528">
        <v>7001</v>
      </c>
      <c r="D39" s="522">
        <v>12502070</v>
      </c>
      <c r="E39" s="519" t="s">
        <v>53</v>
      </c>
      <c r="F39" s="534" t="s">
        <v>127</v>
      </c>
      <c r="G39" s="544" t="s">
        <v>128</v>
      </c>
      <c r="H39" s="522" t="s">
        <v>56</v>
      </c>
      <c r="I39" s="541" t="s">
        <v>57</v>
      </c>
      <c r="J39" s="522" t="s">
        <v>58</v>
      </c>
      <c r="K39" s="540" t="s">
        <v>59</v>
      </c>
      <c r="L39" s="521">
        <v>10.35</v>
      </c>
      <c r="M39" s="520" t="s">
        <v>60</v>
      </c>
    </row>
    <row r="40" spans="1:13">
      <c r="A40" s="516" t="s">
        <v>125</v>
      </c>
      <c r="B40" s="517" t="s">
        <v>126</v>
      </c>
      <c r="C40" s="528">
        <v>7003</v>
      </c>
      <c r="D40" s="522">
        <v>12502070</v>
      </c>
      <c r="E40" s="519" t="s">
        <v>53</v>
      </c>
      <c r="F40" s="534" t="s">
        <v>129</v>
      </c>
      <c r="G40" s="544" t="s">
        <v>128</v>
      </c>
      <c r="H40" s="522" t="s">
        <v>56</v>
      </c>
      <c r="I40" s="541" t="s">
        <v>57</v>
      </c>
      <c r="J40" s="522" t="s">
        <v>58</v>
      </c>
      <c r="K40" s="540" t="s">
        <v>59</v>
      </c>
      <c r="L40" s="521">
        <v>10.35</v>
      </c>
      <c r="M40" s="520" t="s">
        <v>60</v>
      </c>
    </row>
    <row r="41" spans="1:13">
      <c r="A41" s="516" t="s">
        <v>125</v>
      </c>
      <c r="B41" s="517" t="s">
        <v>126</v>
      </c>
      <c r="C41" s="539">
        <v>7004</v>
      </c>
      <c r="D41" s="522">
        <v>12502070</v>
      </c>
      <c r="E41" s="519" t="s">
        <v>53</v>
      </c>
      <c r="F41" s="534" t="s">
        <v>130</v>
      </c>
      <c r="G41" s="544" t="s">
        <v>128</v>
      </c>
      <c r="H41" s="522" t="s">
        <v>56</v>
      </c>
      <c r="I41" s="541" t="s">
        <v>57</v>
      </c>
      <c r="J41" s="522" t="s">
        <v>58</v>
      </c>
      <c r="K41" s="540" t="s">
        <v>59</v>
      </c>
      <c r="L41" s="521">
        <v>10.35</v>
      </c>
      <c r="M41" s="520" t="s">
        <v>60</v>
      </c>
    </row>
    <row r="42" spans="1:13">
      <c r="A42" s="516" t="s">
        <v>125</v>
      </c>
      <c r="B42" s="517" t="s">
        <v>126</v>
      </c>
      <c r="C42" s="539">
        <v>7005</v>
      </c>
      <c r="D42" s="522">
        <v>12502070</v>
      </c>
      <c r="E42" s="519" t="s">
        <v>53</v>
      </c>
      <c r="F42" s="534" t="s">
        <v>1105</v>
      </c>
      <c r="G42" s="544" t="s">
        <v>128</v>
      </c>
      <c r="H42" s="522" t="s">
        <v>56</v>
      </c>
      <c r="I42" s="541" t="s">
        <v>57</v>
      </c>
      <c r="J42" s="522" t="s">
        <v>58</v>
      </c>
      <c r="K42" s="540" t="s">
        <v>59</v>
      </c>
      <c r="L42" s="521">
        <v>10.35</v>
      </c>
      <c r="M42" s="520" t="s">
        <v>60</v>
      </c>
    </row>
    <row r="43" spans="1:13">
      <c r="A43" s="516" t="s">
        <v>125</v>
      </c>
      <c r="B43" s="517" t="s">
        <v>126</v>
      </c>
      <c r="C43" s="539">
        <v>7006</v>
      </c>
      <c r="D43" s="522">
        <v>12502070</v>
      </c>
      <c r="E43" s="519" t="s">
        <v>53</v>
      </c>
      <c r="F43" s="534" t="s">
        <v>131</v>
      </c>
      <c r="G43" s="544" t="s">
        <v>128</v>
      </c>
      <c r="H43" s="522" t="s">
        <v>56</v>
      </c>
      <c r="I43" s="541" t="s">
        <v>57</v>
      </c>
      <c r="J43" s="522" t="s">
        <v>58</v>
      </c>
      <c r="K43" s="540" t="s">
        <v>59</v>
      </c>
      <c r="L43" s="521">
        <v>10.35</v>
      </c>
      <c r="M43" s="520" t="s">
        <v>60</v>
      </c>
    </row>
    <row r="44" spans="1:13">
      <c r="A44" s="516" t="s">
        <v>125</v>
      </c>
      <c r="B44" s="517" t="s">
        <v>126</v>
      </c>
      <c r="C44" s="539">
        <v>7021</v>
      </c>
      <c r="D44" s="522">
        <v>12502070</v>
      </c>
      <c r="E44" s="519" t="s">
        <v>53</v>
      </c>
      <c r="F44" s="579" t="s">
        <v>132</v>
      </c>
      <c r="G44" s="544" t="s">
        <v>128</v>
      </c>
      <c r="H44" s="522" t="s">
        <v>56</v>
      </c>
      <c r="I44" s="541" t="s">
        <v>57</v>
      </c>
      <c r="J44" s="522" t="s">
        <v>58</v>
      </c>
      <c r="K44" s="540" t="s">
        <v>59</v>
      </c>
      <c r="L44" s="521">
        <v>10.35</v>
      </c>
      <c r="M44" s="520" t="s">
        <v>60</v>
      </c>
    </row>
    <row r="45" spans="1:13">
      <c r="A45" s="516" t="s">
        <v>125</v>
      </c>
      <c r="B45" s="517" t="s">
        <v>126</v>
      </c>
      <c r="C45" s="528">
        <v>7024</v>
      </c>
      <c r="D45" s="522">
        <v>12502070</v>
      </c>
      <c r="E45" s="519" t="s">
        <v>53</v>
      </c>
      <c r="F45" s="534" t="s">
        <v>133</v>
      </c>
      <c r="G45" s="544" t="s">
        <v>128</v>
      </c>
      <c r="H45" s="522" t="s">
        <v>56</v>
      </c>
      <c r="I45" s="541" t="s">
        <v>57</v>
      </c>
      <c r="J45" s="522" t="s">
        <v>58</v>
      </c>
      <c r="K45" s="540" t="s">
        <v>59</v>
      </c>
      <c r="L45" s="521">
        <v>10.35</v>
      </c>
      <c r="M45" s="520" t="s">
        <v>60</v>
      </c>
    </row>
    <row r="46" spans="1:13">
      <c r="A46" s="516" t="s">
        <v>125</v>
      </c>
      <c r="B46" s="517" t="s">
        <v>126</v>
      </c>
      <c r="C46" s="580">
        <v>7050</v>
      </c>
      <c r="D46" s="522">
        <v>12502070</v>
      </c>
      <c r="E46" s="519" t="s">
        <v>53</v>
      </c>
      <c r="F46" s="534" t="s">
        <v>134</v>
      </c>
      <c r="G46" s="544" t="s">
        <v>128</v>
      </c>
      <c r="H46" s="522" t="s">
        <v>56</v>
      </c>
      <c r="I46" s="541" t="s">
        <v>57</v>
      </c>
      <c r="J46" s="522" t="s">
        <v>58</v>
      </c>
      <c r="K46" s="540" t="s">
        <v>59</v>
      </c>
      <c r="L46" s="521">
        <v>10.35</v>
      </c>
      <c r="M46" s="520" t="s">
        <v>60</v>
      </c>
    </row>
    <row r="47" spans="1:13">
      <c r="A47" s="516" t="s">
        <v>125</v>
      </c>
      <c r="B47" s="517" t="s">
        <v>126</v>
      </c>
      <c r="C47" s="539">
        <v>7051</v>
      </c>
      <c r="D47" s="522">
        <v>12502070</v>
      </c>
      <c r="E47" s="519" t="s">
        <v>53</v>
      </c>
      <c r="F47" s="579" t="s">
        <v>135</v>
      </c>
      <c r="G47" s="544" t="s">
        <v>128</v>
      </c>
      <c r="H47" s="522" t="s">
        <v>56</v>
      </c>
      <c r="I47" s="541" t="s">
        <v>57</v>
      </c>
      <c r="J47" s="522" t="s">
        <v>58</v>
      </c>
      <c r="K47" s="540" t="s">
        <v>59</v>
      </c>
      <c r="L47" s="521">
        <v>10.35</v>
      </c>
      <c r="M47" s="520" t="s">
        <v>60</v>
      </c>
    </row>
    <row r="48" spans="1:13">
      <c r="A48" s="516" t="s">
        <v>125</v>
      </c>
      <c r="B48" s="517" t="s">
        <v>126</v>
      </c>
      <c r="C48" s="539">
        <v>7075</v>
      </c>
      <c r="D48" s="522">
        <v>12502070</v>
      </c>
      <c r="E48" s="519" t="s">
        <v>53</v>
      </c>
      <c r="F48" s="578" t="s">
        <v>136</v>
      </c>
      <c r="G48" s="544" t="s">
        <v>128</v>
      </c>
      <c r="H48" s="522" t="s">
        <v>56</v>
      </c>
      <c r="I48" s="541" t="s">
        <v>57</v>
      </c>
      <c r="J48" s="522" t="s">
        <v>58</v>
      </c>
      <c r="K48" s="540" t="s">
        <v>59</v>
      </c>
      <c r="L48" s="521">
        <v>10.35</v>
      </c>
      <c r="M48" s="520" t="s">
        <v>60</v>
      </c>
    </row>
    <row r="49" spans="1:13">
      <c r="A49" s="516" t="s">
        <v>125</v>
      </c>
      <c r="B49" s="517" t="s">
        <v>126</v>
      </c>
      <c r="C49" s="539">
        <v>7077</v>
      </c>
      <c r="D49" s="522">
        <v>12502070</v>
      </c>
      <c r="E49" s="519" t="s">
        <v>53</v>
      </c>
      <c r="F49" s="578" t="s">
        <v>137</v>
      </c>
      <c r="G49" s="544" t="s">
        <v>128</v>
      </c>
      <c r="H49" s="522" t="s">
        <v>56</v>
      </c>
      <c r="I49" s="541" t="s">
        <v>57</v>
      </c>
      <c r="J49" s="522" t="s">
        <v>58</v>
      </c>
      <c r="K49" s="540" t="s">
        <v>59</v>
      </c>
      <c r="L49" s="521">
        <v>10.35</v>
      </c>
      <c r="M49" s="520" t="s">
        <v>60</v>
      </c>
    </row>
    <row r="50" spans="1:13">
      <c r="A50" s="516" t="s">
        <v>125</v>
      </c>
      <c r="B50" s="517" t="s">
        <v>126</v>
      </c>
      <c r="C50" s="539">
        <v>7081</v>
      </c>
      <c r="D50" s="522">
        <v>12502070</v>
      </c>
      <c r="E50" s="519" t="s">
        <v>53</v>
      </c>
      <c r="F50" s="579" t="s">
        <v>138</v>
      </c>
      <c r="G50" s="523" t="s">
        <v>128</v>
      </c>
      <c r="H50" s="522" t="s">
        <v>56</v>
      </c>
      <c r="I50" s="541" t="s">
        <v>57</v>
      </c>
      <c r="J50" s="522" t="s">
        <v>58</v>
      </c>
      <c r="K50" s="540" t="s">
        <v>59</v>
      </c>
      <c r="L50" s="521">
        <v>10.35</v>
      </c>
      <c r="M50" s="520" t="s">
        <v>60</v>
      </c>
    </row>
    <row r="51" spans="1:13">
      <c r="A51" s="516" t="s">
        <v>125</v>
      </c>
      <c r="B51" s="517" t="s">
        <v>126</v>
      </c>
      <c r="C51" s="539">
        <v>7086</v>
      </c>
      <c r="D51" s="522">
        <v>12502070</v>
      </c>
      <c r="E51" s="519" t="s">
        <v>53</v>
      </c>
      <c r="F51" s="534" t="s">
        <v>139</v>
      </c>
      <c r="G51" s="523" t="s">
        <v>128</v>
      </c>
      <c r="H51" s="522" t="s">
        <v>56</v>
      </c>
      <c r="I51" s="541" t="s">
        <v>57</v>
      </c>
      <c r="J51" s="522" t="s">
        <v>58</v>
      </c>
      <c r="K51" s="540" t="s">
        <v>59</v>
      </c>
      <c r="L51" s="521">
        <v>10.35</v>
      </c>
      <c r="M51" s="520" t="s">
        <v>60</v>
      </c>
    </row>
    <row r="52" spans="1:13">
      <c r="A52" s="516" t="s">
        <v>125</v>
      </c>
      <c r="B52" s="517" t="s">
        <v>126</v>
      </c>
      <c r="C52" s="539">
        <v>7087</v>
      </c>
      <c r="D52" s="522">
        <v>12502070</v>
      </c>
      <c r="E52" s="519" t="s">
        <v>53</v>
      </c>
      <c r="F52" s="578" t="s">
        <v>140</v>
      </c>
      <c r="G52" s="523" t="s">
        <v>128</v>
      </c>
      <c r="H52" s="522" t="s">
        <v>56</v>
      </c>
      <c r="I52" s="556" t="s">
        <v>57</v>
      </c>
      <c r="J52" s="522" t="s">
        <v>58</v>
      </c>
      <c r="K52" s="540" t="s">
        <v>59</v>
      </c>
      <c r="L52" s="521">
        <v>10.35</v>
      </c>
      <c r="M52" s="520" t="s">
        <v>60</v>
      </c>
    </row>
    <row r="53" spans="1:13">
      <c r="A53" s="516" t="s">
        <v>125</v>
      </c>
      <c r="B53" s="517" t="s">
        <v>126</v>
      </c>
      <c r="C53" s="539">
        <v>7089</v>
      </c>
      <c r="D53" s="522">
        <v>12502070</v>
      </c>
      <c r="E53" s="519" t="s">
        <v>53</v>
      </c>
      <c r="F53" s="578" t="s">
        <v>139</v>
      </c>
      <c r="G53" s="523" t="s">
        <v>128</v>
      </c>
      <c r="H53" s="522" t="s">
        <v>56</v>
      </c>
      <c r="I53" s="541" t="s">
        <v>57</v>
      </c>
      <c r="J53" s="522" t="s">
        <v>58</v>
      </c>
      <c r="K53" s="540" t="s">
        <v>59</v>
      </c>
      <c r="L53" s="521">
        <v>10.35</v>
      </c>
      <c r="M53" s="520" t="s">
        <v>60</v>
      </c>
    </row>
    <row r="54" spans="1:13">
      <c r="A54" s="516" t="s">
        <v>125</v>
      </c>
      <c r="B54" s="517" t="s">
        <v>126</v>
      </c>
      <c r="C54" s="539">
        <v>7301</v>
      </c>
      <c r="D54" s="522">
        <v>12502070</v>
      </c>
      <c r="E54" s="519" t="s">
        <v>53</v>
      </c>
      <c r="F54" s="578" t="s">
        <v>141</v>
      </c>
      <c r="G54" s="523" t="s">
        <v>128</v>
      </c>
      <c r="H54" s="522" t="s">
        <v>56</v>
      </c>
      <c r="I54" s="541" t="s">
        <v>57</v>
      </c>
      <c r="J54" s="522" t="s">
        <v>58</v>
      </c>
      <c r="K54" s="540" t="s">
        <v>59</v>
      </c>
      <c r="L54" s="521">
        <v>10.35</v>
      </c>
      <c r="M54" s="520" t="s">
        <v>60</v>
      </c>
    </row>
    <row r="55" spans="1:13">
      <c r="A55" s="516" t="s">
        <v>125</v>
      </c>
      <c r="B55" s="517" t="s">
        <v>126</v>
      </c>
      <c r="C55" s="539">
        <v>7701</v>
      </c>
      <c r="D55" s="522">
        <v>12502270</v>
      </c>
      <c r="E55" s="519" t="s">
        <v>53</v>
      </c>
      <c r="F55" s="578" t="s">
        <v>142</v>
      </c>
      <c r="G55" s="523" t="s">
        <v>128</v>
      </c>
      <c r="H55" s="522" t="s">
        <v>56</v>
      </c>
      <c r="I55" s="533" t="s">
        <v>143</v>
      </c>
      <c r="J55" s="522" t="s">
        <v>58</v>
      </c>
      <c r="K55" s="540" t="s">
        <v>59</v>
      </c>
      <c r="L55" s="521">
        <v>7.75</v>
      </c>
      <c r="M55" s="520" t="s">
        <v>60</v>
      </c>
    </row>
    <row r="56" spans="1:13">
      <c r="A56" s="516" t="s">
        <v>125</v>
      </c>
      <c r="B56" s="517" t="s">
        <v>126</v>
      </c>
      <c r="C56" s="539">
        <v>7705</v>
      </c>
      <c r="D56" s="522">
        <v>12502270</v>
      </c>
      <c r="E56" s="519" t="s">
        <v>53</v>
      </c>
      <c r="F56" s="578" t="s">
        <v>1104</v>
      </c>
      <c r="G56" s="523" t="s">
        <v>128</v>
      </c>
      <c r="H56" s="522" t="s">
        <v>56</v>
      </c>
      <c r="I56" s="533" t="s">
        <v>143</v>
      </c>
      <c r="J56" s="522" t="s">
        <v>58</v>
      </c>
      <c r="K56" s="540" t="s">
        <v>59</v>
      </c>
      <c r="L56" s="521">
        <v>7.75</v>
      </c>
      <c r="M56" s="520" t="s">
        <v>60</v>
      </c>
    </row>
    <row r="57" spans="1:13">
      <c r="A57" s="516" t="s">
        <v>125</v>
      </c>
      <c r="B57" s="517" t="s">
        <v>126</v>
      </c>
      <c r="C57" s="539">
        <v>7706</v>
      </c>
      <c r="D57" s="522">
        <v>12502270</v>
      </c>
      <c r="E57" s="519" t="s">
        <v>53</v>
      </c>
      <c r="F57" s="578" t="s">
        <v>1103</v>
      </c>
      <c r="G57" s="523" t="s">
        <v>128</v>
      </c>
      <c r="H57" s="522" t="s">
        <v>56</v>
      </c>
      <c r="I57" s="533" t="s">
        <v>143</v>
      </c>
      <c r="J57" s="522" t="s">
        <v>58</v>
      </c>
      <c r="K57" s="540" t="s">
        <v>59</v>
      </c>
      <c r="L57" s="521">
        <v>7.75</v>
      </c>
      <c r="M57" s="520" t="s">
        <v>60</v>
      </c>
    </row>
    <row r="58" spans="1:13">
      <c r="A58" s="516" t="s">
        <v>125</v>
      </c>
      <c r="B58" s="517" t="s">
        <v>126</v>
      </c>
      <c r="C58" s="539">
        <v>7703</v>
      </c>
      <c r="D58" s="522">
        <v>12502070</v>
      </c>
      <c r="E58" s="519" t="s">
        <v>53</v>
      </c>
      <c r="F58" s="578" t="s">
        <v>144</v>
      </c>
      <c r="G58" s="523" t="s">
        <v>128</v>
      </c>
      <c r="H58" s="522" t="s">
        <v>56</v>
      </c>
      <c r="I58" s="541" t="s">
        <v>57</v>
      </c>
      <c r="J58" s="522" t="s">
        <v>58</v>
      </c>
      <c r="K58" s="540" t="s">
        <v>59</v>
      </c>
      <c r="L58" s="521">
        <v>10.35</v>
      </c>
      <c r="M58" s="520" t="s">
        <v>60</v>
      </c>
    </row>
    <row r="59" spans="1:13">
      <c r="A59" s="516" t="s">
        <v>125</v>
      </c>
      <c r="B59" s="517" t="s">
        <v>126</v>
      </c>
      <c r="C59" s="539">
        <v>7704</v>
      </c>
      <c r="D59" s="522">
        <v>12502070</v>
      </c>
      <c r="E59" s="519" t="s">
        <v>53</v>
      </c>
      <c r="F59" s="578" t="s">
        <v>145</v>
      </c>
      <c r="G59" s="523" t="s">
        <v>128</v>
      </c>
      <c r="H59" s="522" t="s">
        <v>56</v>
      </c>
      <c r="I59" s="541" t="s">
        <v>57</v>
      </c>
      <c r="J59" s="522" t="s">
        <v>58</v>
      </c>
      <c r="K59" s="540" t="s">
        <v>59</v>
      </c>
      <c r="L59" s="521">
        <v>10.35</v>
      </c>
      <c r="M59" s="520" t="s">
        <v>60</v>
      </c>
    </row>
    <row r="60" spans="1:13">
      <c r="A60" s="516" t="s">
        <v>125</v>
      </c>
      <c r="B60" s="517" t="s">
        <v>126</v>
      </c>
      <c r="C60" s="522">
        <v>7708</v>
      </c>
      <c r="D60" s="522">
        <v>12502170</v>
      </c>
      <c r="E60" s="519" t="s">
        <v>53</v>
      </c>
      <c r="F60" s="578" t="s">
        <v>1102</v>
      </c>
      <c r="G60" s="523" t="s">
        <v>128</v>
      </c>
      <c r="H60" s="522" t="s">
        <v>56</v>
      </c>
      <c r="I60" s="541" t="s">
        <v>146</v>
      </c>
      <c r="J60" s="522" t="s">
        <v>58</v>
      </c>
      <c r="K60" s="540" t="s">
        <v>59</v>
      </c>
      <c r="L60" s="521">
        <v>11.65</v>
      </c>
      <c r="M60" s="520" t="s">
        <v>60</v>
      </c>
    </row>
    <row r="61" spans="1:13">
      <c r="A61" s="516" t="s">
        <v>125</v>
      </c>
      <c r="B61" s="517" t="s">
        <v>126</v>
      </c>
      <c r="C61" s="522">
        <v>7805</v>
      </c>
      <c r="D61" s="522">
        <v>12502170</v>
      </c>
      <c r="E61" s="519" t="s">
        <v>53</v>
      </c>
      <c r="F61" s="578" t="s">
        <v>1101</v>
      </c>
      <c r="G61" s="523" t="s">
        <v>128</v>
      </c>
      <c r="H61" s="522" t="s">
        <v>56</v>
      </c>
      <c r="I61" s="541" t="s">
        <v>146</v>
      </c>
      <c r="J61" s="522" t="s">
        <v>58</v>
      </c>
      <c r="K61" s="540" t="s">
        <v>59</v>
      </c>
      <c r="L61" s="521">
        <v>11.65</v>
      </c>
      <c r="M61" s="520" t="s">
        <v>60</v>
      </c>
    </row>
    <row r="62" spans="1:13">
      <c r="A62" s="516" t="s">
        <v>125</v>
      </c>
      <c r="B62" s="517" t="s">
        <v>126</v>
      </c>
      <c r="C62" s="520">
        <v>7806</v>
      </c>
      <c r="D62" s="522">
        <v>12502170</v>
      </c>
      <c r="E62" s="519" t="s">
        <v>53</v>
      </c>
      <c r="F62" s="578" t="s">
        <v>147</v>
      </c>
      <c r="G62" s="523" t="s">
        <v>128</v>
      </c>
      <c r="H62" s="522" t="s">
        <v>56</v>
      </c>
      <c r="I62" s="541" t="s">
        <v>146</v>
      </c>
      <c r="J62" s="522" t="s">
        <v>58</v>
      </c>
      <c r="K62" s="540" t="s">
        <v>59</v>
      </c>
      <c r="L62" s="521">
        <v>11.65</v>
      </c>
      <c r="M62" s="520" t="s">
        <v>60</v>
      </c>
    </row>
    <row r="63" spans="1:13">
      <c r="A63" s="516" t="s">
        <v>148</v>
      </c>
      <c r="B63" s="517" t="s">
        <v>149</v>
      </c>
      <c r="C63" s="517">
        <v>101</v>
      </c>
      <c r="D63" s="517">
        <v>11115870</v>
      </c>
      <c r="E63" s="519" t="s">
        <v>53</v>
      </c>
      <c r="F63" s="577" t="s">
        <v>150</v>
      </c>
      <c r="G63" s="576" t="s">
        <v>151</v>
      </c>
      <c r="H63" s="517" t="s">
        <v>152</v>
      </c>
      <c r="I63" s="575" t="s">
        <v>153</v>
      </c>
      <c r="J63" s="517" t="s">
        <v>56</v>
      </c>
      <c r="K63" s="574" t="s">
        <v>59</v>
      </c>
      <c r="L63" s="521">
        <v>4.5</v>
      </c>
      <c r="M63" s="547" t="s">
        <v>60</v>
      </c>
    </row>
    <row r="64" spans="1:13">
      <c r="A64" s="516" t="s">
        <v>148</v>
      </c>
      <c r="B64" s="517" t="s">
        <v>149</v>
      </c>
      <c r="C64" s="517">
        <v>102</v>
      </c>
      <c r="D64" s="517">
        <v>11115870</v>
      </c>
      <c r="E64" s="519" t="s">
        <v>53</v>
      </c>
      <c r="F64" s="577" t="s">
        <v>154</v>
      </c>
      <c r="G64" s="576" t="s">
        <v>151</v>
      </c>
      <c r="H64" s="517" t="s">
        <v>152</v>
      </c>
      <c r="I64" s="575" t="s">
        <v>153</v>
      </c>
      <c r="J64" s="517" t="s">
        <v>56</v>
      </c>
      <c r="K64" s="574" t="s">
        <v>59</v>
      </c>
      <c r="L64" s="521">
        <v>4.5</v>
      </c>
      <c r="M64" s="547" t="s">
        <v>60</v>
      </c>
    </row>
    <row r="65" spans="1:13">
      <c r="A65" s="516" t="s">
        <v>148</v>
      </c>
      <c r="B65" s="517" t="s">
        <v>149</v>
      </c>
      <c r="C65" s="517">
        <v>103</v>
      </c>
      <c r="D65" s="517">
        <v>11115870</v>
      </c>
      <c r="E65" s="519" t="s">
        <v>53</v>
      </c>
      <c r="F65" s="577" t="s">
        <v>155</v>
      </c>
      <c r="G65" s="576" t="s">
        <v>151</v>
      </c>
      <c r="H65" s="517" t="s">
        <v>152</v>
      </c>
      <c r="I65" s="575" t="s">
        <v>153</v>
      </c>
      <c r="J65" s="517" t="s">
        <v>56</v>
      </c>
      <c r="K65" s="574" t="s">
        <v>59</v>
      </c>
      <c r="L65" s="521">
        <v>4.5</v>
      </c>
      <c r="M65" s="547" t="s">
        <v>156</v>
      </c>
    </row>
    <row r="66" spans="1:13">
      <c r="A66" s="516" t="s">
        <v>157</v>
      </c>
      <c r="B66" s="517" t="s">
        <v>158</v>
      </c>
      <c r="C66" s="517">
        <v>201</v>
      </c>
      <c r="D66" s="548">
        <v>9040470</v>
      </c>
      <c r="E66" s="519" t="s">
        <v>53</v>
      </c>
      <c r="F66" s="572" t="s">
        <v>159</v>
      </c>
      <c r="G66" s="550" t="s">
        <v>160</v>
      </c>
      <c r="H66" s="548" t="s">
        <v>161</v>
      </c>
      <c r="I66" s="549" t="s">
        <v>162</v>
      </c>
      <c r="J66" s="548" t="s">
        <v>116</v>
      </c>
      <c r="K66" s="515" t="s">
        <v>59</v>
      </c>
      <c r="L66" s="521">
        <v>9.3000000000000007</v>
      </c>
      <c r="M66" s="547" t="s">
        <v>60</v>
      </c>
    </row>
    <row r="67" spans="1:13">
      <c r="A67" s="516" t="s">
        <v>157</v>
      </c>
      <c r="B67" s="517" t="s">
        <v>158</v>
      </c>
      <c r="C67" s="517">
        <v>202</v>
      </c>
      <c r="D67" s="548">
        <v>9040470</v>
      </c>
      <c r="E67" s="519" t="s">
        <v>53</v>
      </c>
      <c r="F67" s="572" t="s">
        <v>163</v>
      </c>
      <c r="G67" s="550" t="s">
        <v>160</v>
      </c>
      <c r="H67" s="548" t="s">
        <v>161</v>
      </c>
      <c r="I67" s="549" t="s">
        <v>162</v>
      </c>
      <c r="J67" s="548" t="s">
        <v>116</v>
      </c>
      <c r="K67" s="515" t="s">
        <v>59</v>
      </c>
      <c r="L67" s="521">
        <v>9.3000000000000007</v>
      </c>
      <c r="M67" s="547" t="s">
        <v>60</v>
      </c>
    </row>
    <row r="68" spans="1:13" ht="15.75">
      <c r="A68" s="516" t="s">
        <v>157</v>
      </c>
      <c r="B68" s="517" t="s">
        <v>158</v>
      </c>
      <c r="C68" s="517">
        <v>203</v>
      </c>
      <c r="D68" s="548">
        <v>9040470</v>
      </c>
      <c r="E68" s="519" t="s">
        <v>53</v>
      </c>
      <c r="F68" s="572" t="s">
        <v>1100</v>
      </c>
      <c r="G68" s="550" t="s">
        <v>160</v>
      </c>
      <c r="H68" s="548" t="s">
        <v>161</v>
      </c>
      <c r="I68" s="549" t="s">
        <v>162</v>
      </c>
      <c r="J68" s="548" t="s">
        <v>116</v>
      </c>
      <c r="K68" s="515" t="s">
        <v>59</v>
      </c>
      <c r="L68" s="521">
        <v>9.3000000000000007</v>
      </c>
      <c r="M68" s="547" t="s">
        <v>60</v>
      </c>
    </row>
    <row r="69" spans="1:13" ht="15.75">
      <c r="A69" s="516" t="s">
        <v>157</v>
      </c>
      <c r="B69" s="517" t="s">
        <v>158</v>
      </c>
      <c r="C69" s="517">
        <v>204</v>
      </c>
      <c r="D69" s="548">
        <v>9040470</v>
      </c>
      <c r="E69" s="519" t="s">
        <v>53</v>
      </c>
      <c r="F69" s="572" t="s">
        <v>1099</v>
      </c>
      <c r="G69" s="550" t="s">
        <v>164</v>
      </c>
      <c r="H69" s="548" t="s">
        <v>161</v>
      </c>
      <c r="I69" s="549" t="s">
        <v>162</v>
      </c>
      <c r="J69" s="548" t="s">
        <v>116</v>
      </c>
      <c r="K69" s="515" t="s">
        <v>59</v>
      </c>
      <c r="L69" s="521">
        <v>5.45</v>
      </c>
      <c r="M69" s="547" t="s">
        <v>60</v>
      </c>
    </row>
    <row r="70" spans="1:13">
      <c r="A70" s="516" t="s">
        <v>165</v>
      </c>
      <c r="B70" s="517" t="s">
        <v>166</v>
      </c>
      <c r="C70" s="517">
        <v>8099670</v>
      </c>
      <c r="D70" s="548">
        <v>8099670</v>
      </c>
      <c r="E70" s="519" t="s">
        <v>53</v>
      </c>
      <c r="F70" s="573" t="s">
        <v>167</v>
      </c>
      <c r="G70" s="571" t="s">
        <v>168</v>
      </c>
      <c r="H70" s="548" t="s">
        <v>116</v>
      </c>
      <c r="I70" s="549" t="s">
        <v>169</v>
      </c>
      <c r="J70" s="548" t="s">
        <v>170</v>
      </c>
      <c r="K70" s="515" t="s">
        <v>59</v>
      </c>
      <c r="L70" s="521">
        <v>6.9</v>
      </c>
      <c r="M70" s="547" t="s">
        <v>60</v>
      </c>
    </row>
    <row r="71" spans="1:13">
      <c r="A71" s="516" t="s">
        <v>165</v>
      </c>
      <c r="B71" s="517" t="s">
        <v>166</v>
      </c>
      <c r="C71" s="517">
        <v>8099670</v>
      </c>
      <c r="D71" s="548">
        <v>8099670</v>
      </c>
      <c r="E71" s="519" t="s">
        <v>53</v>
      </c>
      <c r="F71" s="572" t="s">
        <v>167</v>
      </c>
      <c r="G71" s="571" t="s">
        <v>171</v>
      </c>
      <c r="H71" s="548" t="s">
        <v>116</v>
      </c>
      <c r="I71" s="549" t="s">
        <v>169</v>
      </c>
      <c r="J71" s="548" t="s">
        <v>170</v>
      </c>
      <c r="K71" s="515" t="s">
        <v>59</v>
      </c>
      <c r="L71" s="521">
        <v>4.5999999999999996</v>
      </c>
      <c r="M71" s="547" t="s">
        <v>60</v>
      </c>
    </row>
    <row r="72" spans="1:13">
      <c r="A72" s="516" t="s">
        <v>172</v>
      </c>
      <c r="B72" s="517" t="s">
        <v>173</v>
      </c>
      <c r="C72" s="519" t="s">
        <v>174</v>
      </c>
      <c r="D72" s="519" t="s">
        <v>174</v>
      </c>
      <c r="E72" s="519" t="s">
        <v>53</v>
      </c>
      <c r="F72" s="518" t="s">
        <v>175</v>
      </c>
      <c r="G72" s="549" t="s">
        <v>176</v>
      </c>
      <c r="H72" s="548" t="s">
        <v>161</v>
      </c>
      <c r="I72" s="549" t="s">
        <v>177</v>
      </c>
      <c r="J72" s="548" t="s">
        <v>178</v>
      </c>
      <c r="K72" s="515" t="s">
        <v>59</v>
      </c>
      <c r="L72" s="521">
        <v>6.05</v>
      </c>
      <c r="M72" s="547" t="s">
        <v>156</v>
      </c>
    </row>
    <row r="73" spans="1:13">
      <c r="A73" s="516" t="s">
        <v>179</v>
      </c>
      <c r="B73" s="517" t="s">
        <v>180</v>
      </c>
      <c r="C73" s="517">
        <v>401</v>
      </c>
      <c r="D73" s="570">
        <v>4020270</v>
      </c>
      <c r="E73" s="519" t="s">
        <v>53</v>
      </c>
      <c r="F73" s="518" t="s">
        <v>181</v>
      </c>
      <c r="G73" s="568" t="s">
        <v>182</v>
      </c>
      <c r="H73" s="567" t="s">
        <v>183</v>
      </c>
      <c r="I73" s="568" t="s">
        <v>184</v>
      </c>
      <c r="J73" s="567" t="s">
        <v>185</v>
      </c>
      <c r="K73" s="515" t="s">
        <v>59</v>
      </c>
      <c r="L73" s="521">
        <v>3.8</v>
      </c>
      <c r="M73" s="547" t="s">
        <v>60</v>
      </c>
    </row>
    <row r="74" spans="1:13">
      <c r="A74" s="516" t="s">
        <v>179</v>
      </c>
      <c r="B74" s="517" t="s">
        <v>180</v>
      </c>
      <c r="C74" s="517">
        <v>402</v>
      </c>
      <c r="D74" s="570">
        <v>4020270</v>
      </c>
      <c r="E74" s="519" t="s">
        <v>53</v>
      </c>
      <c r="F74" s="518" t="s">
        <v>186</v>
      </c>
      <c r="G74" s="569" t="s">
        <v>182</v>
      </c>
      <c r="H74" s="567" t="s">
        <v>183</v>
      </c>
      <c r="I74" s="568" t="s">
        <v>184</v>
      </c>
      <c r="J74" s="567" t="s">
        <v>185</v>
      </c>
      <c r="K74" s="515" t="s">
        <v>59</v>
      </c>
      <c r="L74" s="521">
        <v>3.8</v>
      </c>
      <c r="M74" s="547" t="s">
        <v>60</v>
      </c>
    </row>
    <row r="75" spans="1:13">
      <c r="A75" s="516" t="s">
        <v>179</v>
      </c>
      <c r="B75" s="517" t="s">
        <v>180</v>
      </c>
      <c r="C75" s="570">
        <v>403</v>
      </c>
      <c r="D75" s="570">
        <v>4020270</v>
      </c>
      <c r="E75" s="519" t="s">
        <v>53</v>
      </c>
      <c r="F75" s="518" t="s">
        <v>186</v>
      </c>
      <c r="G75" s="569" t="s">
        <v>182</v>
      </c>
      <c r="H75" s="567" t="s">
        <v>183</v>
      </c>
      <c r="I75" s="568" t="s">
        <v>184</v>
      </c>
      <c r="J75" s="567" t="s">
        <v>185</v>
      </c>
      <c r="K75" s="515" t="s">
        <v>59</v>
      </c>
      <c r="L75" s="521">
        <v>3.8</v>
      </c>
      <c r="M75" s="547" t="s">
        <v>60</v>
      </c>
    </row>
    <row r="76" spans="1:13">
      <c r="A76" s="516" t="s">
        <v>179</v>
      </c>
      <c r="B76" s="517" t="s">
        <v>180</v>
      </c>
      <c r="C76" s="517">
        <v>414</v>
      </c>
      <c r="D76" s="570">
        <v>4020270</v>
      </c>
      <c r="E76" s="519" t="s">
        <v>53</v>
      </c>
      <c r="F76" s="518" t="s">
        <v>187</v>
      </c>
      <c r="G76" s="569" t="s">
        <v>182</v>
      </c>
      <c r="H76" s="567" t="s">
        <v>183</v>
      </c>
      <c r="I76" s="568" t="s">
        <v>184</v>
      </c>
      <c r="J76" s="567" t="s">
        <v>185</v>
      </c>
      <c r="K76" s="515" t="s">
        <v>59</v>
      </c>
      <c r="L76" s="521">
        <v>3.8</v>
      </c>
      <c r="M76" s="547" t="s">
        <v>60</v>
      </c>
    </row>
    <row r="77" spans="1:13">
      <c r="A77" s="516" t="s">
        <v>179</v>
      </c>
      <c r="B77" s="517" t="s">
        <v>180</v>
      </c>
      <c r="C77" s="517">
        <v>416</v>
      </c>
      <c r="D77" s="570">
        <v>4020270</v>
      </c>
      <c r="E77" s="519" t="s">
        <v>53</v>
      </c>
      <c r="F77" s="518" t="s">
        <v>188</v>
      </c>
      <c r="G77" s="569" t="s">
        <v>182</v>
      </c>
      <c r="H77" s="567" t="s">
        <v>183</v>
      </c>
      <c r="I77" s="568" t="s">
        <v>184</v>
      </c>
      <c r="J77" s="567" t="s">
        <v>185</v>
      </c>
      <c r="K77" s="515" t="s">
        <v>59</v>
      </c>
      <c r="L77" s="521">
        <v>3.8</v>
      </c>
      <c r="M77" s="547" t="s">
        <v>60</v>
      </c>
    </row>
    <row r="78" spans="1:13">
      <c r="A78" s="516" t="s">
        <v>179</v>
      </c>
      <c r="B78" s="517" t="s">
        <v>180</v>
      </c>
      <c r="C78" s="517">
        <v>417</v>
      </c>
      <c r="D78" s="570">
        <v>4020270</v>
      </c>
      <c r="E78" s="519" t="s">
        <v>53</v>
      </c>
      <c r="F78" s="518" t="s">
        <v>189</v>
      </c>
      <c r="G78" s="569" t="s">
        <v>182</v>
      </c>
      <c r="H78" s="567" t="s">
        <v>183</v>
      </c>
      <c r="I78" s="568" t="s">
        <v>184</v>
      </c>
      <c r="J78" s="567" t="s">
        <v>185</v>
      </c>
      <c r="K78" s="515" t="s">
        <v>59</v>
      </c>
      <c r="L78" s="521">
        <v>3.8</v>
      </c>
      <c r="M78" s="547" t="s">
        <v>60</v>
      </c>
    </row>
    <row r="79" spans="1:13">
      <c r="A79" s="516" t="s">
        <v>179</v>
      </c>
      <c r="B79" s="517" t="s">
        <v>180</v>
      </c>
      <c r="C79" s="517">
        <v>418</v>
      </c>
      <c r="D79" s="570">
        <v>4020270</v>
      </c>
      <c r="E79" s="519" t="s">
        <v>53</v>
      </c>
      <c r="F79" s="518" t="s">
        <v>190</v>
      </c>
      <c r="G79" s="569" t="s">
        <v>182</v>
      </c>
      <c r="H79" s="567" t="s">
        <v>183</v>
      </c>
      <c r="I79" s="568" t="s">
        <v>184</v>
      </c>
      <c r="J79" s="567" t="s">
        <v>185</v>
      </c>
      <c r="K79" s="515" t="s">
        <v>59</v>
      </c>
      <c r="L79" s="521">
        <v>3.8</v>
      </c>
      <c r="M79" s="547" t="s">
        <v>60</v>
      </c>
    </row>
    <row r="80" spans="1:13">
      <c r="A80" s="516" t="s">
        <v>179</v>
      </c>
      <c r="B80" s="517" t="s">
        <v>180</v>
      </c>
      <c r="C80" s="517">
        <v>419</v>
      </c>
      <c r="D80" s="570">
        <v>4020270</v>
      </c>
      <c r="E80" s="519" t="s">
        <v>53</v>
      </c>
      <c r="F80" s="518" t="s">
        <v>191</v>
      </c>
      <c r="G80" s="569" t="s">
        <v>182</v>
      </c>
      <c r="H80" s="567" t="s">
        <v>183</v>
      </c>
      <c r="I80" s="568" t="s">
        <v>184</v>
      </c>
      <c r="J80" s="567" t="s">
        <v>185</v>
      </c>
      <c r="K80" s="515" t="s">
        <v>59</v>
      </c>
      <c r="L80" s="521">
        <v>3.8</v>
      </c>
      <c r="M80" s="547" t="s">
        <v>60</v>
      </c>
    </row>
    <row r="81" spans="1:13">
      <c r="A81" s="516" t="s">
        <v>179</v>
      </c>
      <c r="B81" s="517" t="s">
        <v>180</v>
      </c>
      <c r="C81" s="517">
        <v>420</v>
      </c>
      <c r="D81" s="570">
        <v>4020270</v>
      </c>
      <c r="E81" s="519" t="s">
        <v>53</v>
      </c>
      <c r="F81" s="518" t="s">
        <v>192</v>
      </c>
      <c r="G81" s="569" t="s">
        <v>182</v>
      </c>
      <c r="H81" s="567" t="s">
        <v>183</v>
      </c>
      <c r="I81" s="568" t="s">
        <v>184</v>
      </c>
      <c r="J81" s="567" t="s">
        <v>185</v>
      </c>
      <c r="K81" s="515" t="s">
        <v>59</v>
      </c>
      <c r="L81" s="521">
        <v>3.8</v>
      </c>
      <c r="M81" s="547" t="s">
        <v>60</v>
      </c>
    </row>
    <row r="82" spans="1:13">
      <c r="A82" s="516" t="s">
        <v>179</v>
      </c>
      <c r="B82" s="517" t="s">
        <v>180</v>
      </c>
      <c r="C82" s="517">
        <v>421</v>
      </c>
      <c r="D82" s="570">
        <v>4020270</v>
      </c>
      <c r="E82" s="519" t="s">
        <v>53</v>
      </c>
      <c r="F82" s="518" t="s">
        <v>193</v>
      </c>
      <c r="G82" s="569" t="s">
        <v>182</v>
      </c>
      <c r="H82" s="567" t="s">
        <v>183</v>
      </c>
      <c r="I82" s="568" t="s">
        <v>184</v>
      </c>
      <c r="J82" s="567" t="s">
        <v>185</v>
      </c>
      <c r="K82" s="515" t="s">
        <v>59</v>
      </c>
      <c r="L82" s="521">
        <v>3.8</v>
      </c>
      <c r="M82" s="547" t="s">
        <v>60</v>
      </c>
    </row>
    <row r="83" spans="1:13">
      <c r="A83" s="566" t="s">
        <v>194</v>
      </c>
      <c r="B83" s="564" t="s">
        <v>195</v>
      </c>
      <c r="C83" s="562">
        <v>6001</v>
      </c>
      <c r="D83" s="562">
        <v>12502370</v>
      </c>
      <c r="E83" s="519" t="s">
        <v>53</v>
      </c>
      <c r="F83" s="565" t="s">
        <v>196</v>
      </c>
      <c r="G83" s="538" t="s">
        <v>1093</v>
      </c>
      <c r="H83" s="564" t="s">
        <v>56</v>
      </c>
      <c r="I83" s="563" t="s">
        <v>57</v>
      </c>
      <c r="J83" s="562" t="s">
        <v>58</v>
      </c>
      <c r="K83" s="561" t="s">
        <v>59</v>
      </c>
      <c r="L83" s="521">
        <v>8.75</v>
      </c>
      <c r="M83" s="560" t="s">
        <v>60</v>
      </c>
    </row>
    <row r="84" spans="1:13" s="518" customFormat="1">
      <c r="A84" s="525" t="s">
        <v>194</v>
      </c>
      <c r="B84" s="520" t="s">
        <v>195</v>
      </c>
      <c r="C84" s="522">
        <v>6002</v>
      </c>
      <c r="D84" s="522">
        <v>12502370</v>
      </c>
      <c r="E84" s="519" t="s">
        <v>53</v>
      </c>
      <c r="F84" s="534" t="s">
        <v>197</v>
      </c>
      <c r="G84" s="538" t="s">
        <v>1093</v>
      </c>
      <c r="H84" s="520" t="s">
        <v>56</v>
      </c>
      <c r="I84" s="552" t="s">
        <v>57</v>
      </c>
      <c r="J84" s="522" t="s">
        <v>58</v>
      </c>
      <c r="K84" s="540" t="s">
        <v>59</v>
      </c>
      <c r="L84" s="521">
        <v>8.75</v>
      </c>
      <c r="M84" s="547" t="s">
        <v>60</v>
      </c>
    </row>
    <row r="85" spans="1:13">
      <c r="A85" s="559" t="s">
        <v>194</v>
      </c>
      <c r="B85" s="557" t="s">
        <v>195</v>
      </c>
      <c r="C85" s="555">
        <v>6003</v>
      </c>
      <c r="D85" s="555">
        <v>12502370</v>
      </c>
      <c r="E85" s="519" t="s">
        <v>53</v>
      </c>
      <c r="F85" s="558" t="s">
        <v>198</v>
      </c>
      <c r="G85" s="538" t="s">
        <v>1093</v>
      </c>
      <c r="H85" s="557" t="s">
        <v>56</v>
      </c>
      <c r="I85" s="556" t="s">
        <v>57</v>
      </c>
      <c r="J85" s="555" t="s">
        <v>58</v>
      </c>
      <c r="K85" s="554" t="s">
        <v>59</v>
      </c>
      <c r="L85" s="521">
        <v>8.75</v>
      </c>
      <c r="M85" s="553" t="s">
        <v>60</v>
      </c>
    </row>
    <row r="86" spans="1:13">
      <c r="A86" s="525" t="s">
        <v>194</v>
      </c>
      <c r="B86" s="520" t="s">
        <v>195</v>
      </c>
      <c r="C86" s="522" t="s">
        <v>199</v>
      </c>
      <c r="D86" s="522">
        <v>12502370</v>
      </c>
      <c r="E86" s="522" t="s">
        <v>200</v>
      </c>
      <c r="F86" s="534" t="s">
        <v>201</v>
      </c>
      <c r="G86" s="538" t="s">
        <v>1093</v>
      </c>
      <c r="H86" s="520" t="s">
        <v>56</v>
      </c>
      <c r="I86" s="541" t="s">
        <v>57</v>
      </c>
      <c r="J86" s="522" t="s">
        <v>58</v>
      </c>
      <c r="K86" s="540" t="s">
        <v>59</v>
      </c>
      <c r="L86" s="521">
        <v>8.75</v>
      </c>
      <c r="M86" s="547" t="s">
        <v>60</v>
      </c>
    </row>
    <row r="87" spans="1:13">
      <c r="A87" s="552" t="s">
        <v>194</v>
      </c>
      <c r="B87" s="520" t="s">
        <v>195</v>
      </c>
      <c r="C87" s="542">
        <v>6004</v>
      </c>
      <c r="D87" s="522">
        <v>12502370</v>
      </c>
      <c r="E87" s="519" t="s">
        <v>53</v>
      </c>
      <c r="F87" s="534" t="s">
        <v>202</v>
      </c>
      <c r="G87" s="538" t="s">
        <v>1093</v>
      </c>
      <c r="H87" s="520" t="s">
        <v>56</v>
      </c>
      <c r="I87" s="541" t="s">
        <v>57</v>
      </c>
      <c r="J87" s="522" t="s">
        <v>58</v>
      </c>
      <c r="K87" s="540" t="s">
        <v>59</v>
      </c>
      <c r="L87" s="521">
        <v>8.75</v>
      </c>
      <c r="M87" s="547" t="s">
        <v>60</v>
      </c>
    </row>
    <row r="88" spans="1:13">
      <c r="A88" s="525" t="s">
        <v>194</v>
      </c>
      <c r="B88" s="520" t="s">
        <v>195</v>
      </c>
      <c r="C88" s="522">
        <v>6005</v>
      </c>
      <c r="D88" s="522">
        <v>12502370</v>
      </c>
      <c r="E88" s="519" t="s">
        <v>53</v>
      </c>
      <c r="F88" s="534" t="s">
        <v>203</v>
      </c>
      <c r="G88" s="538" t="s">
        <v>1093</v>
      </c>
      <c r="H88" s="520" t="s">
        <v>56</v>
      </c>
      <c r="I88" s="541" t="s">
        <v>57</v>
      </c>
      <c r="J88" s="522" t="s">
        <v>58</v>
      </c>
      <c r="K88" s="540" t="s">
        <v>59</v>
      </c>
      <c r="L88" s="521">
        <v>8.75</v>
      </c>
      <c r="M88" s="547" t="s">
        <v>60</v>
      </c>
    </row>
    <row r="89" spans="1:13">
      <c r="A89" s="525" t="s">
        <v>194</v>
      </c>
      <c r="B89" s="520" t="s">
        <v>195</v>
      </c>
      <c r="C89" s="522">
        <v>6006</v>
      </c>
      <c r="D89" s="522">
        <v>12502370</v>
      </c>
      <c r="E89" s="519" t="s">
        <v>53</v>
      </c>
      <c r="F89" s="534" t="s">
        <v>204</v>
      </c>
      <c r="G89" s="538" t="s">
        <v>1093</v>
      </c>
      <c r="H89" s="520" t="s">
        <v>56</v>
      </c>
      <c r="I89" s="541" t="s">
        <v>57</v>
      </c>
      <c r="J89" s="522" t="s">
        <v>58</v>
      </c>
      <c r="K89" s="540" t="s">
        <v>59</v>
      </c>
      <c r="L89" s="521">
        <v>8.75</v>
      </c>
      <c r="M89" s="547" t="s">
        <v>60</v>
      </c>
    </row>
    <row r="90" spans="1:13">
      <c r="A90" s="525" t="s">
        <v>194</v>
      </c>
      <c r="B90" s="520" t="s">
        <v>195</v>
      </c>
      <c r="C90" s="522">
        <v>6007</v>
      </c>
      <c r="D90" s="522">
        <v>12502370</v>
      </c>
      <c r="E90" s="519" t="s">
        <v>53</v>
      </c>
      <c r="F90" s="534" t="s">
        <v>205</v>
      </c>
      <c r="G90" s="538" t="s">
        <v>1093</v>
      </c>
      <c r="H90" s="520" t="s">
        <v>56</v>
      </c>
      <c r="I90" s="541" t="s">
        <v>57</v>
      </c>
      <c r="J90" s="522" t="s">
        <v>58</v>
      </c>
      <c r="K90" s="540" t="s">
        <v>59</v>
      </c>
      <c r="L90" s="521">
        <v>8.75</v>
      </c>
      <c r="M90" s="547" t="s">
        <v>60</v>
      </c>
    </row>
    <row r="91" spans="1:13">
      <c r="A91" s="525" t="s">
        <v>194</v>
      </c>
      <c r="B91" s="520" t="s">
        <v>195</v>
      </c>
      <c r="C91" s="520">
        <v>6011</v>
      </c>
      <c r="D91" s="522">
        <v>12502370</v>
      </c>
      <c r="E91" s="519" t="s">
        <v>53</v>
      </c>
      <c r="F91" s="534" t="s">
        <v>206</v>
      </c>
      <c r="G91" s="538" t="s">
        <v>1093</v>
      </c>
      <c r="H91" s="520" t="s">
        <v>56</v>
      </c>
      <c r="I91" s="541" t="s">
        <v>57</v>
      </c>
      <c r="J91" s="522" t="s">
        <v>58</v>
      </c>
      <c r="K91" s="540" t="s">
        <v>59</v>
      </c>
      <c r="L91" s="521">
        <v>8.75</v>
      </c>
      <c r="M91" s="547" t="s">
        <v>60</v>
      </c>
    </row>
    <row r="92" spans="1:13">
      <c r="A92" s="525" t="s">
        <v>194</v>
      </c>
      <c r="B92" s="520" t="s">
        <v>195</v>
      </c>
      <c r="C92" s="520">
        <v>6012</v>
      </c>
      <c r="D92" s="522">
        <v>12502370</v>
      </c>
      <c r="E92" s="519" t="s">
        <v>53</v>
      </c>
      <c r="F92" s="534" t="s">
        <v>207</v>
      </c>
      <c r="G92" s="538" t="s">
        <v>1093</v>
      </c>
      <c r="H92" s="520" t="s">
        <v>56</v>
      </c>
      <c r="I92" s="541" t="s">
        <v>57</v>
      </c>
      <c r="J92" s="522" t="s">
        <v>58</v>
      </c>
      <c r="K92" s="540" t="s">
        <v>59</v>
      </c>
      <c r="L92" s="521">
        <v>8.75</v>
      </c>
      <c r="M92" s="547" t="s">
        <v>60</v>
      </c>
    </row>
    <row r="93" spans="1:13">
      <c r="A93" s="525" t="s">
        <v>194</v>
      </c>
      <c r="B93" s="520" t="s">
        <v>195</v>
      </c>
      <c r="C93" s="520">
        <v>6013</v>
      </c>
      <c r="D93" s="522">
        <v>12502370</v>
      </c>
      <c r="E93" s="519" t="s">
        <v>53</v>
      </c>
      <c r="F93" s="534" t="s">
        <v>208</v>
      </c>
      <c r="G93" s="538" t="s">
        <v>1093</v>
      </c>
      <c r="H93" s="520" t="s">
        <v>56</v>
      </c>
      <c r="I93" s="541" t="s">
        <v>57</v>
      </c>
      <c r="J93" s="522" t="s">
        <v>58</v>
      </c>
      <c r="K93" s="540" t="s">
        <v>59</v>
      </c>
      <c r="L93" s="521">
        <v>8.75</v>
      </c>
      <c r="M93" s="547" t="s">
        <v>60</v>
      </c>
    </row>
    <row r="94" spans="1:13">
      <c r="A94" s="525" t="s">
        <v>194</v>
      </c>
      <c r="B94" s="520" t="s">
        <v>195</v>
      </c>
      <c r="C94" s="520">
        <v>6014</v>
      </c>
      <c r="D94" s="522">
        <v>12502370</v>
      </c>
      <c r="E94" s="519" t="s">
        <v>53</v>
      </c>
      <c r="F94" s="534" t="s">
        <v>1098</v>
      </c>
      <c r="G94" s="538" t="s">
        <v>1093</v>
      </c>
      <c r="H94" s="520" t="s">
        <v>56</v>
      </c>
      <c r="I94" s="541" t="s">
        <v>57</v>
      </c>
      <c r="J94" s="522" t="s">
        <v>58</v>
      </c>
      <c r="K94" s="540" t="s">
        <v>59</v>
      </c>
      <c r="L94" s="521">
        <v>8.75</v>
      </c>
      <c r="M94" s="547" t="s">
        <v>60</v>
      </c>
    </row>
    <row r="95" spans="1:13">
      <c r="A95" s="525" t="s">
        <v>194</v>
      </c>
      <c r="B95" s="520" t="s">
        <v>195</v>
      </c>
      <c r="C95" s="520">
        <v>6015</v>
      </c>
      <c r="D95" s="522">
        <v>12502370</v>
      </c>
      <c r="E95" s="519" t="s">
        <v>53</v>
      </c>
      <c r="F95" s="534" t="s">
        <v>1097</v>
      </c>
      <c r="G95" s="538" t="s">
        <v>1093</v>
      </c>
      <c r="H95" s="520" t="s">
        <v>56</v>
      </c>
      <c r="I95" s="541" t="s">
        <v>57</v>
      </c>
      <c r="J95" s="522" t="s">
        <v>58</v>
      </c>
      <c r="K95" s="540" t="s">
        <v>59</v>
      </c>
      <c r="L95" s="521">
        <v>8.75</v>
      </c>
      <c r="M95" s="547" t="s">
        <v>60</v>
      </c>
    </row>
    <row r="96" spans="1:13">
      <c r="A96" s="525" t="s">
        <v>194</v>
      </c>
      <c r="B96" s="520" t="s">
        <v>195</v>
      </c>
      <c r="C96" s="520">
        <v>6016</v>
      </c>
      <c r="D96" s="522">
        <v>12502370</v>
      </c>
      <c r="E96" s="519" t="s">
        <v>53</v>
      </c>
      <c r="F96" s="534" t="s">
        <v>1096</v>
      </c>
      <c r="G96" s="538" t="s">
        <v>1093</v>
      </c>
      <c r="H96" s="520" t="s">
        <v>56</v>
      </c>
      <c r="I96" s="541" t="s">
        <v>57</v>
      </c>
      <c r="J96" s="522" t="s">
        <v>58</v>
      </c>
      <c r="K96" s="540" t="s">
        <v>59</v>
      </c>
      <c r="L96" s="521">
        <v>8.75</v>
      </c>
      <c r="M96" s="547" t="s">
        <v>60</v>
      </c>
    </row>
    <row r="97" spans="1:13">
      <c r="A97" s="525" t="s">
        <v>194</v>
      </c>
      <c r="B97" s="520" t="s">
        <v>195</v>
      </c>
      <c r="C97" s="520">
        <v>6017</v>
      </c>
      <c r="D97" s="522">
        <v>12502370</v>
      </c>
      <c r="E97" s="519" t="s">
        <v>53</v>
      </c>
      <c r="F97" s="534" t="s">
        <v>209</v>
      </c>
      <c r="G97" s="538" t="s">
        <v>1093</v>
      </c>
      <c r="H97" s="520" t="s">
        <v>56</v>
      </c>
      <c r="I97" s="541" t="s">
        <v>57</v>
      </c>
      <c r="J97" s="522" t="s">
        <v>58</v>
      </c>
      <c r="K97" s="540" t="s">
        <v>59</v>
      </c>
      <c r="L97" s="521">
        <v>8.75</v>
      </c>
      <c r="M97" s="547" t="s">
        <v>60</v>
      </c>
    </row>
    <row r="98" spans="1:13">
      <c r="A98" s="525" t="s">
        <v>194</v>
      </c>
      <c r="B98" s="520" t="s">
        <v>195</v>
      </c>
      <c r="C98" s="520">
        <v>6026</v>
      </c>
      <c r="D98" s="522">
        <v>12502370</v>
      </c>
      <c r="E98" s="519" t="s">
        <v>53</v>
      </c>
      <c r="F98" s="534" t="s">
        <v>210</v>
      </c>
      <c r="G98" s="538" t="s">
        <v>1093</v>
      </c>
      <c r="H98" s="520" t="s">
        <v>56</v>
      </c>
      <c r="I98" s="541" t="s">
        <v>57</v>
      </c>
      <c r="J98" s="522" t="s">
        <v>58</v>
      </c>
      <c r="K98" s="540" t="s">
        <v>59</v>
      </c>
      <c r="L98" s="521">
        <v>8.75</v>
      </c>
      <c r="M98" s="547" t="s">
        <v>60</v>
      </c>
    </row>
    <row r="99" spans="1:13">
      <c r="A99" s="525" t="s">
        <v>194</v>
      </c>
      <c r="B99" s="520" t="s">
        <v>195</v>
      </c>
      <c r="C99" s="520" t="s">
        <v>211</v>
      </c>
      <c r="D99" s="522">
        <v>12502370</v>
      </c>
      <c r="E99" s="522" t="s">
        <v>200</v>
      </c>
      <c r="F99" s="534" t="s">
        <v>212</v>
      </c>
      <c r="G99" s="538" t="s">
        <v>1093</v>
      </c>
      <c r="H99" s="520" t="s">
        <v>56</v>
      </c>
      <c r="I99" s="541" t="s">
        <v>57</v>
      </c>
      <c r="J99" s="522" t="s">
        <v>58</v>
      </c>
      <c r="K99" s="540" t="s">
        <v>59</v>
      </c>
      <c r="L99" s="521">
        <v>8.75</v>
      </c>
      <c r="M99" s="547" t="s">
        <v>60</v>
      </c>
    </row>
    <row r="100" spans="1:13">
      <c r="A100" s="525" t="s">
        <v>194</v>
      </c>
      <c r="B100" s="520" t="s">
        <v>195</v>
      </c>
      <c r="C100" s="520">
        <v>6051</v>
      </c>
      <c r="D100" s="522">
        <v>12502370</v>
      </c>
      <c r="E100" s="519" t="s">
        <v>53</v>
      </c>
      <c r="F100" s="534" t="s">
        <v>1095</v>
      </c>
      <c r="G100" s="538" t="s">
        <v>1093</v>
      </c>
      <c r="H100" s="520" t="s">
        <v>56</v>
      </c>
      <c r="I100" s="541" t="s">
        <v>57</v>
      </c>
      <c r="J100" s="522" t="s">
        <v>58</v>
      </c>
      <c r="K100" s="540" t="s">
        <v>59</v>
      </c>
      <c r="L100" s="521">
        <v>8.75</v>
      </c>
      <c r="M100" s="547"/>
    </row>
    <row r="101" spans="1:13">
      <c r="A101" s="525" t="s">
        <v>194</v>
      </c>
      <c r="B101" s="520" t="s">
        <v>195</v>
      </c>
      <c r="C101" s="520" t="s">
        <v>213</v>
      </c>
      <c r="D101" s="522">
        <v>12502370</v>
      </c>
      <c r="E101" s="522" t="s">
        <v>200</v>
      </c>
      <c r="F101" s="534" t="s">
        <v>214</v>
      </c>
      <c r="G101" s="538" t="s">
        <v>1093</v>
      </c>
      <c r="H101" s="520" t="s">
        <v>56</v>
      </c>
      <c r="I101" s="541" t="s">
        <v>57</v>
      </c>
      <c r="J101" s="522" t="s">
        <v>58</v>
      </c>
      <c r="K101" s="540" t="s">
        <v>59</v>
      </c>
      <c r="L101" s="521">
        <v>8.75</v>
      </c>
      <c r="M101" s="547" t="s">
        <v>60</v>
      </c>
    </row>
    <row r="102" spans="1:13">
      <c r="A102" s="525" t="s">
        <v>194</v>
      </c>
      <c r="B102" s="520" t="s">
        <v>195</v>
      </c>
      <c r="C102" s="520" t="s">
        <v>215</v>
      </c>
      <c r="D102" s="522">
        <v>12502370</v>
      </c>
      <c r="E102" s="522" t="s">
        <v>200</v>
      </c>
      <c r="F102" s="534" t="s">
        <v>216</v>
      </c>
      <c r="G102" s="538" t="s">
        <v>1093</v>
      </c>
      <c r="H102" s="520" t="s">
        <v>56</v>
      </c>
      <c r="I102" s="541" t="s">
        <v>57</v>
      </c>
      <c r="J102" s="522" t="s">
        <v>58</v>
      </c>
      <c r="K102" s="540" t="s">
        <v>59</v>
      </c>
      <c r="L102" s="521">
        <v>8.75</v>
      </c>
      <c r="M102" s="547" t="s">
        <v>60</v>
      </c>
    </row>
    <row r="103" spans="1:13">
      <c r="A103" s="525" t="s">
        <v>194</v>
      </c>
      <c r="B103" s="520" t="s">
        <v>195</v>
      </c>
      <c r="C103" s="520" t="s">
        <v>217</v>
      </c>
      <c r="D103" s="522">
        <v>12502370</v>
      </c>
      <c r="E103" s="522" t="s">
        <v>200</v>
      </c>
      <c r="F103" s="534" t="s">
        <v>218</v>
      </c>
      <c r="G103" s="538" t="s">
        <v>1093</v>
      </c>
      <c r="H103" s="520" t="s">
        <v>56</v>
      </c>
      <c r="I103" s="541" t="s">
        <v>57</v>
      </c>
      <c r="J103" s="522" t="s">
        <v>58</v>
      </c>
      <c r="K103" s="540" t="s">
        <v>59</v>
      </c>
      <c r="L103" s="521">
        <v>8.75</v>
      </c>
      <c r="M103" s="547" t="s">
        <v>60</v>
      </c>
    </row>
    <row r="104" spans="1:13">
      <c r="A104" s="525" t="s">
        <v>194</v>
      </c>
      <c r="B104" s="520" t="s">
        <v>195</v>
      </c>
      <c r="C104" s="522">
        <v>6070</v>
      </c>
      <c r="D104" s="522">
        <v>12502370</v>
      </c>
      <c r="E104" s="519" t="s">
        <v>53</v>
      </c>
      <c r="F104" s="534" t="s">
        <v>219</v>
      </c>
      <c r="G104" s="538" t="s">
        <v>1093</v>
      </c>
      <c r="H104" s="520" t="s">
        <v>56</v>
      </c>
      <c r="I104" s="541" t="s">
        <v>57</v>
      </c>
      <c r="J104" s="522" t="s">
        <v>58</v>
      </c>
      <c r="K104" s="540" t="s">
        <v>59</v>
      </c>
      <c r="L104" s="521">
        <v>8.75</v>
      </c>
      <c r="M104" s="547" t="s">
        <v>60</v>
      </c>
    </row>
    <row r="105" spans="1:13">
      <c r="A105" s="525" t="s">
        <v>194</v>
      </c>
      <c r="B105" s="520" t="s">
        <v>195</v>
      </c>
      <c r="C105" s="522" t="s">
        <v>220</v>
      </c>
      <c r="D105" s="522">
        <v>12502370</v>
      </c>
      <c r="E105" s="522" t="s">
        <v>200</v>
      </c>
      <c r="F105" s="534" t="s">
        <v>221</v>
      </c>
      <c r="G105" s="538" t="s">
        <v>1093</v>
      </c>
      <c r="H105" s="520" t="s">
        <v>56</v>
      </c>
      <c r="I105" s="541" t="s">
        <v>57</v>
      </c>
      <c r="J105" s="522" t="s">
        <v>58</v>
      </c>
      <c r="K105" s="540" t="s">
        <v>59</v>
      </c>
      <c r="L105" s="521">
        <v>8.75</v>
      </c>
      <c r="M105" s="547" t="s">
        <v>60</v>
      </c>
    </row>
    <row r="106" spans="1:13">
      <c r="A106" s="525" t="s">
        <v>194</v>
      </c>
      <c r="B106" s="520" t="s">
        <v>195</v>
      </c>
      <c r="C106" s="522">
        <v>6071</v>
      </c>
      <c r="D106" s="522">
        <v>12502370</v>
      </c>
      <c r="E106" s="519" t="s">
        <v>53</v>
      </c>
      <c r="F106" s="534" t="s">
        <v>222</v>
      </c>
      <c r="G106" s="538" t="s">
        <v>1093</v>
      </c>
      <c r="H106" s="520" t="s">
        <v>56</v>
      </c>
      <c r="I106" s="541" t="s">
        <v>57</v>
      </c>
      <c r="J106" s="522" t="s">
        <v>58</v>
      </c>
      <c r="K106" s="540" t="s">
        <v>59</v>
      </c>
      <c r="L106" s="521">
        <v>8.75</v>
      </c>
      <c r="M106" s="547" t="s">
        <v>60</v>
      </c>
    </row>
    <row r="107" spans="1:13">
      <c r="A107" s="525" t="s">
        <v>194</v>
      </c>
      <c r="B107" s="520" t="s">
        <v>195</v>
      </c>
      <c r="C107" s="522" t="s">
        <v>223</v>
      </c>
      <c r="D107" s="522">
        <v>12502370</v>
      </c>
      <c r="E107" s="522" t="s">
        <v>200</v>
      </c>
      <c r="F107" s="534" t="s">
        <v>224</v>
      </c>
      <c r="G107" s="538" t="s">
        <v>1093</v>
      </c>
      <c r="H107" s="520" t="s">
        <v>56</v>
      </c>
      <c r="I107" s="541" t="s">
        <v>57</v>
      </c>
      <c r="J107" s="522" t="s">
        <v>58</v>
      </c>
      <c r="K107" s="540" t="s">
        <v>59</v>
      </c>
      <c r="L107" s="521">
        <v>8.75</v>
      </c>
      <c r="M107" s="547" t="s">
        <v>60</v>
      </c>
    </row>
    <row r="108" spans="1:13">
      <c r="A108" s="525" t="s">
        <v>194</v>
      </c>
      <c r="B108" s="520" t="s">
        <v>195</v>
      </c>
      <c r="C108" s="520">
        <v>6072</v>
      </c>
      <c r="D108" s="522">
        <v>12502370</v>
      </c>
      <c r="E108" s="519" t="s">
        <v>53</v>
      </c>
      <c r="F108" s="534" t="s">
        <v>225</v>
      </c>
      <c r="G108" s="538" t="s">
        <v>1093</v>
      </c>
      <c r="H108" s="520" t="s">
        <v>56</v>
      </c>
      <c r="I108" s="541" t="s">
        <v>57</v>
      </c>
      <c r="J108" s="522" t="s">
        <v>58</v>
      </c>
      <c r="K108" s="540" t="s">
        <v>59</v>
      </c>
      <c r="L108" s="521">
        <v>8.75</v>
      </c>
      <c r="M108" s="547" t="s">
        <v>60</v>
      </c>
    </row>
    <row r="109" spans="1:13">
      <c r="A109" s="525" t="s">
        <v>194</v>
      </c>
      <c r="B109" s="520" t="s">
        <v>195</v>
      </c>
      <c r="C109" s="522">
        <v>6073</v>
      </c>
      <c r="D109" s="522">
        <v>12502370</v>
      </c>
      <c r="E109" s="519" t="s">
        <v>53</v>
      </c>
      <c r="F109" s="534" t="s">
        <v>226</v>
      </c>
      <c r="G109" s="538" t="s">
        <v>1093</v>
      </c>
      <c r="H109" s="520" t="s">
        <v>56</v>
      </c>
      <c r="I109" s="541" t="s">
        <v>57</v>
      </c>
      <c r="J109" s="522" t="s">
        <v>58</v>
      </c>
      <c r="K109" s="540" t="s">
        <v>59</v>
      </c>
      <c r="L109" s="521">
        <v>8.75</v>
      </c>
      <c r="M109" s="547" t="s">
        <v>60</v>
      </c>
    </row>
    <row r="110" spans="1:13">
      <c r="A110" s="525" t="s">
        <v>194</v>
      </c>
      <c r="B110" s="520" t="s">
        <v>195</v>
      </c>
      <c r="C110" s="522" t="s">
        <v>227</v>
      </c>
      <c r="D110" s="522">
        <v>12502370</v>
      </c>
      <c r="E110" s="522" t="s">
        <v>200</v>
      </c>
      <c r="F110" s="534" t="s">
        <v>228</v>
      </c>
      <c r="G110" s="538" t="s">
        <v>1093</v>
      </c>
      <c r="H110" s="520" t="s">
        <v>56</v>
      </c>
      <c r="I110" s="541" t="s">
        <v>57</v>
      </c>
      <c r="J110" s="522" t="s">
        <v>58</v>
      </c>
      <c r="K110" s="540" t="s">
        <v>59</v>
      </c>
      <c r="L110" s="521">
        <v>8.75</v>
      </c>
      <c r="M110" s="547" t="s">
        <v>60</v>
      </c>
    </row>
    <row r="111" spans="1:13">
      <c r="A111" s="525" t="s">
        <v>194</v>
      </c>
      <c r="B111" s="520" t="s">
        <v>195</v>
      </c>
      <c r="C111" s="522">
        <v>6074</v>
      </c>
      <c r="D111" s="522">
        <v>12502370</v>
      </c>
      <c r="E111" s="519" t="s">
        <v>53</v>
      </c>
      <c r="F111" s="534" t="s">
        <v>229</v>
      </c>
      <c r="G111" s="538" t="s">
        <v>1093</v>
      </c>
      <c r="H111" s="520" t="s">
        <v>56</v>
      </c>
      <c r="I111" s="541" t="s">
        <v>57</v>
      </c>
      <c r="J111" s="522" t="s">
        <v>58</v>
      </c>
      <c r="K111" s="540" t="s">
        <v>59</v>
      </c>
      <c r="L111" s="521">
        <v>8.75</v>
      </c>
      <c r="M111" s="547" t="s">
        <v>60</v>
      </c>
    </row>
    <row r="112" spans="1:13">
      <c r="A112" s="525" t="s">
        <v>194</v>
      </c>
      <c r="B112" s="520" t="s">
        <v>195</v>
      </c>
      <c r="C112" s="522" t="s">
        <v>230</v>
      </c>
      <c r="D112" s="522">
        <v>12502370</v>
      </c>
      <c r="E112" s="522" t="s">
        <v>200</v>
      </c>
      <c r="F112" s="534" t="s">
        <v>231</v>
      </c>
      <c r="G112" s="538" t="s">
        <v>1093</v>
      </c>
      <c r="H112" s="520" t="s">
        <v>56</v>
      </c>
      <c r="I112" s="541" t="s">
        <v>57</v>
      </c>
      <c r="J112" s="522" t="s">
        <v>58</v>
      </c>
      <c r="K112" s="540" t="s">
        <v>59</v>
      </c>
      <c r="L112" s="521">
        <v>8.75</v>
      </c>
      <c r="M112" s="547" t="s">
        <v>60</v>
      </c>
    </row>
    <row r="113" spans="1:13">
      <c r="A113" s="525" t="s">
        <v>194</v>
      </c>
      <c r="B113" s="520" t="s">
        <v>195</v>
      </c>
      <c r="C113" s="522" t="s">
        <v>232</v>
      </c>
      <c r="D113" s="522">
        <v>12502370</v>
      </c>
      <c r="E113" s="522" t="s">
        <v>200</v>
      </c>
      <c r="F113" s="534" t="s">
        <v>233</v>
      </c>
      <c r="G113" s="538" t="s">
        <v>1093</v>
      </c>
      <c r="H113" s="520" t="s">
        <v>56</v>
      </c>
      <c r="I113" s="541" t="s">
        <v>57</v>
      </c>
      <c r="J113" s="522" t="s">
        <v>58</v>
      </c>
      <c r="K113" s="540" t="s">
        <v>59</v>
      </c>
      <c r="L113" s="521">
        <v>8.75</v>
      </c>
      <c r="M113" s="547" t="s">
        <v>60</v>
      </c>
    </row>
    <row r="114" spans="1:13">
      <c r="A114" s="525" t="s">
        <v>194</v>
      </c>
      <c r="B114" s="520" t="s">
        <v>195</v>
      </c>
      <c r="C114" s="522" t="s">
        <v>234</v>
      </c>
      <c r="D114" s="522">
        <v>12502370</v>
      </c>
      <c r="E114" s="522" t="s">
        <v>200</v>
      </c>
      <c r="F114" s="534" t="s">
        <v>235</v>
      </c>
      <c r="G114" s="538" t="s">
        <v>1093</v>
      </c>
      <c r="H114" s="520" t="s">
        <v>56</v>
      </c>
      <c r="I114" s="541" t="s">
        <v>57</v>
      </c>
      <c r="J114" s="522" t="s">
        <v>58</v>
      </c>
      <c r="K114" s="540" t="s">
        <v>59</v>
      </c>
      <c r="L114" s="521">
        <v>8.75</v>
      </c>
      <c r="M114" s="547" t="s">
        <v>60</v>
      </c>
    </row>
    <row r="115" spans="1:13">
      <c r="A115" s="525" t="s">
        <v>194</v>
      </c>
      <c r="B115" s="520" t="s">
        <v>195</v>
      </c>
      <c r="C115" s="522">
        <v>6302</v>
      </c>
      <c r="D115" s="522">
        <v>12502370</v>
      </c>
      <c r="E115" s="519" t="s">
        <v>53</v>
      </c>
      <c r="F115" s="534" t="s">
        <v>236</v>
      </c>
      <c r="G115" s="538" t="s">
        <v>1093</v>
      </c>
      <c r="H115" s="520" t="s">
        <v>56</v>
      </c>
      <c r="I115" s="541" t="s">
        <v>57</v>
      </c>
      <c r="J115" s="522" t="s">
        <v>58</v>
      </c>
      <c r="K115" s="540" t="s">
        <v>59</v>
      </c>
      <c r="L115" s="521">
        <v>8.75</v>
      </c>
      <c r="M115" s="547" t="s">
        <v>60</v>
      </c>
    </row>
    <row r="116" spans="1:13">
      <c r="A116" s="525" t="s">
        <v>194</v>
      </c>
      <c r="B116" s="520" t="s">
        <v>195</v>
      </c>
      <c r="C116" s="522" t="s">
        <v>237</v>
      </c>
      <c r="D116" s="522">
        <v>12502370</v>
      </c>
      <c r="E116" s="522" t="s">
        <v>200</v>
      </c>
      <c r="F116" s="534" t="s">
        <v>238</v>
      </c>
      <c r="G116" s="538" t="s">
        <v>1093</v>
      </c>
      <c r="H116" s="520" t="s">
        <v>56</v>
      </c>
      <c r="I116" s="541" t="s">
        <v>57</v>
      </c>
      <c r="J116" s="522" t="s">
        <v>58</v>
      </c>
      <c r="K116" s="540" t="s">
        <v>59</v>
      </c>
      <c r="L116" s="521">
        <v>8.75</v>
      </c>
      <c r="M116" s="547" t="s">
        <v>60</v>
      </c>
    </row>
    <row r="117" spans="1:13">
      <c r="A117" s="525" t="s">
        <v>194</v>
      </c>
      <c r="B117" s="520" t="s">
        <v>195</v>
      </c>
      <c r="C117" s="522">
        <v>6303</v>
      </c>
      <c r="D117" s="522">
        <v>12502370</v>
      </c>
      <c r="E117" s="519" t="s">
        <v>53</v>
      </c>
      <c r="F117" s="534" t="s">
        <v>1094</v>
      </c>
      <c r="G117" s="538" t="s">
        <v>1093</v>
      </c>
      <c r="H117" s="520" t="s">
        <v>56</v>
      </c>
      <c r="I117" s="541" t="s">
        <v>57</v>
      </c>
      <c r="J117" s="522" t="s">
        <v>58</v>
      </c>
      <c r="K117" s="540" t="s">
        <v>59</v>
      </c>
      <c r="L117" s="521">
        <v>8.75</v>
      </c>
      <c r="M117" s="547" t="s">
        <v>60</v>
      </c>
    </row>
    <row r="118" spans="1:13">
      <c r="A118" s="525" t="s">
        <v>194</v>
      </c>
      <c r="B118" s="520" t="s">
        <v>195</v>
      </c>
      <c r="C118" s="520">
        <v>6307</v>
      </c>
      <c r="D118" s="522">
        <v>12502370</v>
      </c>
      <c r="E118" s="519" t="s">
        <v>53</v>
      </c>
      <c r="F118" s="534" t="s">
        <v>239</v>
      </c>
      <c r="G118" s="538" t="s">
        <v>1093</v>
      </c>
      <c r="H118" s="520" t="s">
        <v>56</v>
      </c>
      <c r="I118" s="541" t="s">
        <v>57</v>
      </c>
      <c r="J118" s="522" t="s">
        <v>58</v>
      </c>
      <c r="K118" s="540" t="s">
        <v>59</v>
      </c>
      <c r="L118" s="521">
        <v>8.75</v>
      </c>
      <c r="M118" s="547" t="s">
        <v>60</v>
      </c>
    </row>
    <row r="119" spans="1:13">
      <c r="A119" s="525" t="s">
        <v>194</v>
      </c>
      <c r="B119" s="520" t="s">
        <v>195</v>
      </c>
      <c r="C119" s="522">
        <v>6322</v>
      </c>
      <c r="D119" s="522">
        <v>12502370</v>
      </c>
      <c r="E119" s="519" t="s">
        <v>53</v>
      </c>
      <c r="F119" s="534" t="s">
        <v>240</v>
      </c>
      <c r="G119" s="538" t="s">
        <v>1093</v>
      </c>
      <c r="H119" s="520" t="s">
        <v>56</v>
      </c>
      <c r="I119" s="541" t="s">
        <v>57</v>
      </c>
      <c r="J119" s="522" t="s">
        <v>58</v>
      </c>
      <c r="K119" s="540" t="s">
        <v>59</v>
      </c>
      <c r="L119" s="521">
        <v>8.75</v>
      </c>
      <c r="M119" s="547" t="s">
        <v>60</v>
      </c>
    </row>
    <row r="120" spans="1:13">
      <c r="A120" s="525" t="s">
        <v>194</v>
      </c>
      <c r="B120" s="520" t="s">
        <v>195</v>
      </c>
      <c r="C120" s="522">
        <v>6008</v>
      </c>
      <c r="D120" s="522">
        <v>12502370</v>
      </c>
      <c r="E120" s="519" t="s">
        <v>53</v>
      </c>
      <c r="F120" s="534" t="s">
        <v>241</v>
      </c>
      <c r="G120" s="538" t="s">
        <v>1093</v>
      </c>
      <c r="H120" s="520" t="s">
        <v>56</v>
      </c>
      <c r="I120" s="533" t="s">
        <v>57</v>
      </c>
      <c r="J120" s="522" t="s">
        <v>58</v>
      </c>
      <c r="K120" s="540" t="s">
        <v>59</v>
      </c>
      <c r="L120" s="521">
        <v>8.75</v>
      </c>
      <c r="M120" s="547" t="s">
        <v>60</v>
      </c>
    </row>
    <row r="121" spans="1:13">
      <c r="A121" s="525" t="s">
        <v>194</v>
      </c>
      <c r="B121" s="520" t="s">
        <v>195</v>
      </c>
      <c r="C121" s="522">
        <v>6078</v>
      </c>
      <c r="D121" s="522">
        <v>12502370</v>
      </c>
      <c r="E121" s="519" t="s">
        <v>53</v>
      </c>
      <c r="F121" s="534" t="s">
        <v>242</v>
      </c>
      <c r="G121" s="538" t="s">
        <v>1093</v>
      </c>
      <c r="H121" s="520" t="s">
        <v>56</v>
      </c>
      <c r="I121" s="533" t="s">
        <v>57</v>
      </c>
      <c r="J121" s="522" t="s">
        <v>58</v>
      </c>
      <c r="K121" s="540" t="s">
        <v>59</v>
      </c>
      <c r="L121" s="521">
        <v>8.75</v>
      </c>
      <c r="M121" s="547" t="s">
        <v>60</v>
      </c>
    </row>
    <row r="122" spans="1:13">
      <c r="A122" s="525" t="s">
        <v>194</v>
      </c>
      <c r="B122" s="520" t="s">
        <v>195</v>
      </c>
      <c r="C122" s="522" t="s">
        <v>243</v>
      </c>
      <c r="D122" s="522">
        <v>12502370</v>
      </c>
      <c r="E122" s="522" t="s">
        <v>200</v>
      </c>
      <c r="F122" s="534" t="s">
        <v>244</v>
      </c>
      <c r="G122" s="538" t="s">
        <v>1093</v>
      </c>
      <c r="H122" s="520" t="s">
        <v>56</v>
      </c>
      <c r="I122" s="533" t="s">
        <v>57</v>
      </c>
      <c r="J122" s="522" t="s">
        <v>58</v>
      </c>
      <c r="K122" s="540" t="s">
        <v>59</v>
      </c>
      <c r="L122" s="521">
        <v>8.75</v>
      </c>
      <c r="M122" s="547" t="s">
        <v>60</v>
      </c>
    </row>
    <row r="123" spans="1:13">
      <c r="A123" s="525" t="s">
        <v>194</v>
      </c>
      <c r="B123" s="520" t="s">
        <v>195</v>
      </c>
      <c r="C123" s="522">
        <v>6079</v>
      </c>
      <c r="D123" s="522">
        <v>12502370</v>
      </c>
      <c r="E123" s="519" t="s">
        <v>53</v>
      </c>
      <c r="F123" s="534" t="s">
        <v>245</v>
      </c>
      <c r="G123" s="538" t="s">
        <v>1093</v>
      </c>
      <c r="H123" s="520" t="s">
        <v>56</v>
      </c>
      <c r="I123" s="533" t="s">
        <v>57</v>
      </c>
      <c r="J123" s="522" t="s">
        <v>58</v>
      </c>
      <c r="K123" s="540" t="s">
        <v>59</v>
      </c>
      <c r="L123" s="521">
        <v>8.75</v>
      </c>
      <c r="M123" s="547" t="s">
        <v>60</v>
      </c>
    </row>
    <row r="124" spans="1:13">
      <c r="A124" s="525" t="s">
        <v>194</v>
      </c>
      <c r="B124" s="520" t="s">
        <v>195</v>
      </c>
      <c r="C124" s="522" t="s">
        <v>246</v>
      </c>
      <c r="D124" s="522">
        <v>12502370</v>
      </c>
      <c r="E124" s="522" t="s">
        <v>200</v>
      </c>
      <c r="F124" s="534" t="s">
        <v>247</v>
      </c>
      <c r="G124" s="538" t="s">
        <v>1093</v>
      </c>
      <c r="H124" s="520" t="s">
        <v>56</v>
      </c>
      <c r="I124" s="533" t="s">
        <v>57</v>
      </c>
      <c r="J124" s="522" t="s">
        <v>58</v>
      </c>
      <c r="K124" s="540" t="s">
        <v>59</v>
      </c>
      <c r="L124" s="521">
        <v>8.75</v>
      </c>
      <c r="M124" s="547" t="s">
        <v>60</v>
      </c>
    </row>
    <row r="125" spans="1:13">
      <c r="A125" s="525" t="s">
        <v>194</v>
      </c>
      <c r="B125" s="520" t="s">
        <v>195</v>
      </c>
      <c r="C125" s="522" t="s">
        <v>248</v>
      </c>
      <c r="D125" s="522">
        <v>12502370</v>
      </c>
      <c r="E125" s="522" t="s">
        <v>200</v>
      </c>
      <c r="F125" s="534" t="s">
        <v>249</v>
      </c>
      <c r="G125" s="538" t="s">
        <v>1093</v>
      </c>
      <c r="H125" s="520" t="s">
        <v>56</v>
      </c>
      <c r="I125" s="533" t="s">
        <v>57</v>
      </c>
      <c r="J125" s="522" t="s">
        <v>58</v>
      </c>
      <c r="K125" s="540" t="s">
        <v>59</v>
      </c>
      <c r="L125" s="521">
        <v>8.75</v>
      </c>
      <c r="M125" s="547" t="s">
        <v>60</v>
      </c>
    </row>
    <row r="126" spans="1:13">
      <c r="A126" s="525" t="s">
        <v>194</v>
      </c>
      <c r="B126" s="520" t="s">
        <v>195</v>
      </c>
      <c r="C126" s="522" t="s">
        <v>250</v>
      </c>
      <c r="D126" s="522">
        <v>12502370</v>
      </c>
      <c r="E126" s="522" t="s">
        <v>200</v>
      </c>
      <c r="F126" s="534" t="s">
        <v>251</v>
      </c>
      <c r="G126" s="538" t="s">
        <v>1093</v>
      </c>
      <c r="H126" s="520" t="s">
        <v>56</v>
      </c>
      <c r="I126" s="533" t="s">
        <v>57</v>
      </c>
      <c r="J126" s="522" t="s">
        <v>58</v>
      </c>
      <c r="K126" s="540" t="s">
        <v>59</v>
      </c>
      <c r="L126" s="521">
        <v>8.75</v>
      </c>
      <c r="M126" s="547" t="s">
        <v>60</v>
      </c>
    </row>
    <row r="127" spans="1:13">
      <c r="A127" s="525" t="s">
        <v>194</v>
      </c>
      <c r="B127" s="520" t="s">
        <v>195</v>
      </c>
      <c r="C127" s="522">
        <v>6803</v>
      </c>
      <c r="D127" s="522">
        <v>12502470</v>
      </c>
      <c r="E127" s="519" t="s">
        <v>53</v>
      </c>
      <c r="F127" s="534" t="s">
        <v>252</v>
      </c>
      <c r="G127" s="538" t="s">
        <v>1093</v>
      </c>
      <c r="H127" s="520" t="s">
        <v>56</v>
      </c>
      <c r="I127" s="533" t="s">
        <v>146</v>
      </c>
      <c r="J127" s="522" t="s">
        <v>58</v>
      </c>
      <c r="K127" s="540" t="s">
        <v>59</v>
      </c>
      <c r="L127" s="521">
        <v>10.050000000000001</v>
      </c>
      <c r="M127" s="547" t="s">
        <v>60</v>
      </c>
    </row>
    <row r="128" spans="1:13">
      <c r="A128" s="525" t="s">
        <v>194</v>
      </c>
      <c r="B128" s="520" t="s">
        <v>195</v>
      </c>
      <c r="C128" s="522">
        <v>6805</v>
      </c>
      <c r="D128" s="522">
        <v>12502470</v>
      </c>
      <c r="E128" s="519" t="s">
        <v>53</v>
      </c>
      <c r="F128" s="534" t="s">
        <v>253</v>
      </c>
      <c r="G128" s="538" t="s">
        <v>1093</v>
      </c>
      <c r="H128" s="520" t="s">
        <v>56</v>
      </c>
      <c r="I128" s="533" t="s">
        <v>146</v>
      </c>
      <c r="J128" s="522" t="s">
        <v>58</v>
      </c>
      <c r="K128" s="540" t="s">
        <v>59</v>
      </c>
      <c r="L128" s="521">
        <v>10.050000000000001</v>
      </c>
      <c r="M128" s="547" t="s">
        <v>60</v>
      </c>
    </row>
    <row r="129" spans="1:13">
      <c r="A129" s="525" t="s">
        <v>194</v>
      </c>
      <c r="B129" s="520" t="s">
        <v>195</v>
      </c>
      <c r="C129" s="522">
        <v>6806</v>
      </c>
      <c r="D129" s="522">
        <v>12502470</v>
      </c>
      <c r="E129" s="519" t="s">
        <v>53</v>
      </c>
      <c r="F129" s="534" t="s">
        <v>254</v>
      </c>
      <c r="G129" s="538" t="s">
        <v>1093</v>
      </c>
      <c r="H129" s="520" t="s">
        <v>56</v>
      </c>
      <c r="I129" s="533" t="s">
        <v>146</v>
      </c>
      <c r="J129" s="522" t="s">
        <v>58</v>
      </c>
      <c r="K129" s="540" t="s">
        <v>59</v>
      </c>
      <c r="L129" s="521">
        <v>10.050000000000001</v>
      </c>
      <c r="M129" s="547" t="s">
        <v>60</v>
      </c>
    </row>
    <row r="130" spans="1:13">
      <c r="A130" s="525" t="s">
        <v>194</v>
      </c>
      <c r="B130" s="520" t="s">
        <v>195</v>
      </c>
      <c r="C130" s="522">
        <v>6802</v>
      </c>
      <c r="D130" s="522">
        <v>12502470</v>
      </c>
      <c r="E130" s="519" t="s">
        <v>53</v>
      </c>
      <c r="F130" s="534" t="s">
        <v>255</v>
      </c>
      <c r="G130" s="538" t="s">
        <v>1093</v>
      </c>
      <c r="H130" s="520" t="s">
        <v>56</v>
      </c>
      <c r="I130" s="541" t="s">
        <v>146</v>
      </c>
      <c r="J130" s="522" t="s">
        <v>58</v>
      </c>
      <c r="K130" s="540" t="s">
        <v>59</v>
      </c>
      <c r="L130" s="521">
        <v>10.050000000000001</v>
      </c>
      <c r="M130" s="547" t="s">
        <v>60</v>
      </c>
    </row>
    <row r="131" spans="1:13">
      <c r="A131" s="525" t="s">
        <v>194</v>
      </c>
      <c r="B131" s="520" t="s">
        <v>195</v>
      </c>
      <c r="C131" s="522">
        <v>6804</v>
      </c>
      <c r="D131" s="522">
        <v>12502470</v>
      </c>
      <c r="E131" s="519" t="s">
        <v>53</v>
      </c>
      <c r="F131" s="534" t="s">
        <v>256</v>
      </c>
      <c r="G131" s="538" t="s">
        <v>1093</v>
      </c>
      <c r="H131" s="520" t="s">
        <v>56</v>
      </c>
      <c r="I131" s="541" t="s">
        <v>146</v>
      </c>
      <c r="J131" s="522" t="s">
        <v>58</v>
      </c>
      <c r="K131" s="540" t="s">
        <v>59</v>
      </c>
      <c r="L131" s="521">
        <v>10.050000000000001</v>
      </c>
      <c r="M131" s="547" t="s">
        <v>60</v>
      </c>
    </row>
    <row r="132" spans="1:13">
      <c r="A132" s="525" t="s">
        <v>194</v>
      </c>
      <c r="B132" s="520" t="s">
        <v>195</v>
      </c>
      <c r="C132" s="522">
        <v>6705</v>
      </c>
      <c r="D132" s="522">
        <v>12502570</v>
      </c>
      <c r="E132" s="519" t="s">
        <v>53</v>
      </c>
      <c r="F132" s="534" t="s">
        <v>257</v>
      </c>
      <c r="G132" s="538" t="s">
        <v>1093</v>
      </c>
      <c r="H132" s="520" t="s">
        <v>56</v>
      </c>
      <c r="I132" s="533" t="s">
        <v>143</v>
      </c>
      <c r="J132" s="522" t="s">
        <v>58</v>
      </c>
      <c r="K132" s="540" t="s">
        <v>59</v>
      </c>
      <c r="L132" s="521">
        <v>5.8</v>
      </c>
      <c r="M132" s="520" t="s">
        <v>60</v>
      </c>
    </row>
    <row r="133" spans="1:13">
      <c r="A133" s="525" t="s">
        <v>194</v>
      </c>
      <c r="B133" s="520" t="s">
        <v>195</v>
      </c>
      <c r="C133" s="522">
        <v>6706</v>
      </c>
      <c r="D133" s="522">
        <v>12502570</v>
      </c>
      <c r="E133" s="519" t="s">
        <v>53</v>
      </c>
      <c r="F133" s="534" t="s">
        <v>258</v>
      </c>
      <c r="G133" s="538" t="s">
        <v>1093</v>
      </c>
      <c r="H133" s="520" t="s">
        <v>56</v>
      </c>
      <c r="I133" s="533" t="s">
        <v>143</v>
      </c>
      <c r="J133" s="522" t="s">
        <v>58</v>
      </c>
      <c r="K133" s="540" t="s">
        <v>59</v>
      </c>
      <c r="L133" s="521">
        <v>5.8</v>
      </c>
      <c r="M133" s="520" t="s">
        <v>60</v>
      </c>
    </row>
    <row r="134" spans="1:13">
      <c r="A134" s="516" t="s">
        <v>259</v>
      </c>
      <c r="B134" s="517" t="s">
        <v>260</v>
      </c>
      <c r="C134" s="517">
        <v>6054170</v>
      </c>
      <c r="D134" s="548">
        <v>6054170</v>
      </c>
      <c r="E134" s="519" t="s">
        <v>53</v>
      </c>
      <c r="F134" s="551" t="s">
        <v>261</v>
      </c>
      <c r="G134" s="550" t="s">
        <v>262</v>
      </c>
      <c r="H134" s="548" t="s">
        <v>118</v>
      </c>
      <c r="I134" s="549" t="s">
        <v>263</v>
      </c>
      <c r="J134" s="548" t="s">
        <v>116</v>
      </c>
      <c r="K134" s="515" t="s">
        <v>59</v>
      </c>
      <c r="L134" s="521">
        <v>7.4</v>
      </c>
      <c r="M134" s="547" t="s">
        <v>60</v>
      </c>
    </row>
    <row r="135" spans="1:13">
      <c r="A135" s="525" t="s">
        <v>1092</v>
      </c>
      <c r="B135" s="520" t="s">
        <v>264</v>
      </c>
      <c r="C135" s="522">
        <v>4040</v>
      </c>
      <c r="D135" s="522">
        <v>12502670</v>
      </c>
      <c r="E135" s="519" t="s">
        <v>53</v>
      </c>
      <c r="F135" s="534" t="s">
        <v>265</v>
      </c>
      <c r="G135" s="544" t="s">
        <v>639</v>
      </c>
      <c r="H135" s="522" t="s">
        <v>56</v>
      </c>
      <c r="I135" s="541" t="s">
        <v>57</v>
      </c>
      <c r="J135" s="522" t="s">
        <v>58</v>
      </c>
      <c r="K135" s="540" t="s">
        <v>59</v>
      </c>
      <c r="L135" s="521">
        <v>11.7</v>
      </c>
      <c r="M135" s="520" t="s">
        <v>60</v>
      </c>
    </row>
    <row r="136" spans="1:13">
      <c r="A136" s="525" t="s">
        <v>1092</v>
      </c>
      <c r="B136" s="520" t="s">
        <v>264</v>
      </c>
      <c r="C136" s="522">
        <v>4041</v>
      </c>
      <c r="D136" s="522">
        <v>12502670</v>
      </c>
      <c r="E136" s="519" t="s">
        <v>53</v>
      </c>
      <c r="F136" s="534" t="s">
        <v>266</v>
      </c>
      <c r="G136" s="544" t="s">
        <v>639</v>
      </c>
      <c r="H136" s="522" t="s">
        <v>56</v>
      </c>
      <c r="I136" s="541" t="s">
        <v>57</v>
      </c>
      <c r="J136" s="522" t="s">
        <v>58</v>
      </c>
      <c r="K136" s="540" t="s">
        <v>59</v>
      </c>
      <c r="L136" s="521">
        <v>11.7</v>
      </c>
      <c r="M136" s="520" t="s">
        <v>60</v>
      </c>
    </row>
    <row r="137" spans="1:13">
      <c r="A137" s="525" t="s">
        <v>1092</v>
      </c>
      <c r="B137" s="520" t="s">
        <v>264</v>
      </c>
      <c r="C137" s="528">
        <v>4049</v>
      </c>
      <c r="D137" s="522">
        <v>12502670</v>
      </c>
      <c r="E137" s="519" t="s">
        <v>53</v>
      </c>
      <c r="F137" s="534" t="s">
        <v>267</v>
      </c>
      <c r="G137" s="544" t="s">
        <v>639</v>
      </c>
      <c r="H137" s="522" t="s">
        <v>56</v>
      </c>
      <c r="I137" s="541" t="s">
        <v>57</v>
      </c>
      <c r="J137" s="522" t="s">
        <v>58</v>
      </c>
      <c r="K137" s="540" t="s">
        <v>59</v>
      </c>
      <c r="L137" s="521">
        <v>11.7</v>
      </c>
      <c r="M137" s="520" t="s">
        <v>60</v>
      </c>
    </row>
    <row r="138" spans="1:13">
      <c r="A138" s="525" t="s">
        <v>1092</v>
      </c>
      <c r="B138" s="520" t="s">
        <v>264</v>
      </c>
      <c r="C138" s="528">
        <v>4054</v>
      </c>
      <c r="D138" s="522">
        <v>12502670</v>
      </c>
      <c r="E138" s="519" t="s">
        <v>53</v>
      </c>
      <c r="F138" s="534" t="s">
        <v>268</v>
      </c>
      <c r="G138" s="544" t="s">
        <v>639</v>
      </c>
      <c r="H138" s="522" t="s">
        <v>56</v>
      </c>
      <c r="I138" s="541" t="s">
        <v>57</v>
      </c>
      <c r="J138" s="522" t="s">
        <v>58</v>
      </c>
      <c r="K138" s="540" t="s">
        <v>59</v>
      </c>
      <c r="L138" s="521">
        <v>11.7</v>
      </c>
      <c r="M138" s="520" t="s">
        <v>60</v>
      </c>
    </row>
    <row r="139" spans="1:13">
      <c r="A139" s="525" t="s">
        <v>1092</v>
      </c>
      <c r="B139" s="520" t="s">
        <v>264</v>
      </c>
      <c r="C139" s="528">
        <v>4055</v>
      </c>
      <c r="D139" s="522">
        <v>12502670</v>
      </c>
      <c r="E139" s="519" t="s">
        <v>53</v>
      </c>
      <c r="F139" s="534" t="s">
        <v>269</v>
      </c>
      <c r="G139" s="544" t="s">
        <v>639</v>
      </c>
      <c r="H139" s="522" t="s">
        <v>56</v>
      </c>
      <c r="I139" s="541" t="s">
        <v>57</v>
      </c>
      <c r="J139" s="522" t="s">
        <v>58</v>
      </c>
      <c r="K139" s="540" t="s">
        <v>59</v>
      </c>
      <c r="L139" s="521">
        <v>11.7</v>
      </c>
      <c r="M139" s="520" t="s">
        <v>60</v>
      </c>
    </row>
    <row r="140" spans="1:13">
      <c r="A140" s="525" t="s">
        <v>1092</v>
      </c>
      <c r="B140" s="520" t="s">
        <v>264</v>
      </c>
      <c r="C140" s="528">
        <v>4060</v>
      </c>
      <c r="D140" s="522">
        <v>12502670</v>
      </c>
      <c r="E140" s="519" t="s">
        <v>53</v>
      </c>
      <c r="F140" s="534" t="s">
        <v>270</v>
      </c>
      <c r="G140" s="544" t="s">
        <v>639</v>
      </c>
      <c r="H140" s="522" t="s">
        <v>56</v>
      </c>
      <c r="I140" s="541" t="s">
        <v>57</v>
      </c>
      <c r="J140" s="522" t="s">
        <v>58</v>
      </c>
      <c r="K140" s="540" t="s">
        <v>59</v>
      </c>
      <c r="L140" s="521">
        <v>11.7</v>
      </c>
      <c r="M140" s="520" t="s">
        <v>60</v>
      </c>
    </row>
    <row r="141" spans="1:13">
      <c r="A141" s="525" t="s">
        <v>1092</v>
      </c>
      <c r="B141" s="520" t="s">
        <v>264</v>
      </c>
      <c r="C141" s="528">
        <v>4090</v>
      </c>
      <c r="D141" s="522">
        <v>12502670</v>
      </c>
      <c r="E141" s="519" t="s">
        <v>53</v>
      </c>
      <c r="F141" s="534" t="s">
        <v>271</v>
      </c>
      <c r="G141" s="544" t="s">
        <v>639</v>
      </c>
      <c r="H141" s="522" t="s">
        <v>56</v>
      </c>
      <c r="I141" s="541" t="s">
        <v>57</v>
      </c>
      <c r="J141" s="522" t="s">
        <v>58</v>
      </c>
      <c r="K141" s="540" t="s">
        <v>59</v>
      </c>
      <c r="L141" s="521">
        <v>11.7</v>
      </c>
      <c r="M141" s="520" t="s">
        <v>60</v>
      </c>
    </row>
    <row r="142" spans="1:13">
      <c r="A142" s="525" t="s">
        <v>1092</v>
      </c>
      <c r="B142" s="520" t="s">
        <v>264</v>
      </c>
      <c r="C142" s="528">
        <v>4093</v>
      </c>
      <c r="D142" s="522">
        <v>12502670</v>
      </c>
      <c r="E142" s="519" t="s">
        <v>53</v>
      </c>
      <c r="F142" s="534" t="s">
        <v>272</v>
      </c>
      <c r="G142" s="544" t="s">
        <v>639</v>
      </c>
      <c r="H142" s="522" t="s">
        <v>56</v>
      </c>
      <c r="I142" s="541" t="s">
        <v>57</v>
      </c>
      <c r="J142" s="522" t="s">
        <v>58</v>
      </c>
      <c r="K142" s="540" t="s">
        <v>59</v>
      </c>
      <c r="L142" s="521">
        <v>11.7</v>
      </c>
      <c r="M142" s="520" t="s">
        <v>60</v>
      </c>
    </row>
    <row r="143" spans="1:13">
      <c r="A143" s="525" t="s">
        <v>1092</v>
      </c>
      <c r="B143" s="520" t="s">
        <v>264</v>
      </c>
      <c r="C143" s="528">
        <v>4094</v>
      </c>
      <c r="D143" s="522">
        <v>12502670</v>
      </c>
      <c r="E143" s="519" t="s">
        <v>53</v>
      </c>
      <c r="F143" s="534" t="s">
        <v>273</v>
      </c>
      <c r="G143" s="544" t="s">
        <v>639</v>
      </c>
      <c r="H143" s="522" t="s">
        <v>56</v>
      </c>
      <c r="I143" s="541" t="s">
        <v>57</v>
      </c>
      <c r="J143" s="522" t="s">
        <v>58</v>
      </c>
      <c r="K143" s="540" t="s">
        <v>59</v>
      </c>
      <c r="L143" s="521">
        <v>11.7</v>
      </c>
      <c r="M143" s="520" t="s">
        <v>60</v>
      </c>
    </row>
    <row r="144" spans="1:13">
      <c r="A144" s="525" t="s">
        <v>1092</v>
      </c>
      <c r="B144" s="520" t="s">
        <v>264</v>
      </c>
      <c r="C144" s="528">
        <v>4320</v>
      </c>
      <c r="D144" s="522">
        <v>12502670</v>
      </c>
      <c r="E144" s="519" t="s">
        <v>53</v>
      </c>
      <c r="F144" s="546" t="s">
        <v>274</v>
      </c>
      <c r="G144" s="544" t="s">
        <v>639</v>
      </c>
      <c r="H144" s="522" t="s">
        <v>56</v>
      </c>
      <c r="I144" s="541" t="s">
        <v>57</v>
      </c>
      <c r="J144" s="522" t="s">
        <v>58</v>
      </c>
      <c r="K144" s="540" t="s">
        <v>59</v>
      </c>
      <c r="L144" s="521">
        <v>11.7</v>
      </c>
      <c r="M144" s="520" t="s">
        <v>60</v>
      </c>
    </row>
    <row r="145" spans="1:13">
      <c r="A145" s="525" t="s">
        <v>1092</v>
      </c>
      <c r="B145" s="520" t="s">
        <v>264</v>
      </c>
      <c r="C145" s="528">
        <v>4321</v>
      </c>
      <c r="D145" s="522">
        <v>12502670</v>
      </c>
      <c r="E145" s="519" t="s">
        <v>53</v>
      </c>
      <c r="F145" s="543" t="s">
        <v>275</v>
      </c>
      <c r="G145" s="544" t="s">
        <v>639</v>
      </c>
      <c r="H145" s="522" t="s">
        <v>56</v>
      </c>
      <c r="I145" s="541" t="s">
        <v>57</v>
      </c>
      <c r="J145" s="522" t="s">
        <v>58</v>
      </c>
      <c r="K145" s="540" t="s">
        <v>59</v>
      </c>
      <c r="L145" s="521">
        <v>11.7</v>
      </c>
      <c r="M145" s="520" t="s">
        <v>60</v>
      </c>
    </row>
    <row r="146" spans="1:13">
      <c r="A146" s="525" t="s">
        <v>1092</v>
      </c>
      <c r="B146" s="520" t="s">
        <v>264</v>
      </c>
      <c r="C146" s="528">
        <v>4322</v>
      </c>
      <c r="D146" s="522">
        <v>12502670</v>
      </c>
      <c r="E146" s="519" t="s">
        <v>53</v>
      </c>
      <c r="F146" s="543" t="s">
        <v>276</v>
      </c>
      <c r="G146" s="544" t="s">
        <v>639</v>
      </c>
      <c r="H146" s="522" t="s">
        <v>56</v>
      </c>
      <c r="I146" s="541" t="s">
        <v>57</v>
      </c>
      <c r="J146" s="522" t="s">
        <v>58</v>
      </c>
      <c r="K146" s="540" t="s">
        <v>59</v>
      </c>
      <c r="L146" s="521">
        <v>11.7</v>
      </c>
      <c r="M146" s="520" t="s">
        <v>60</v>
      </c>
    </row>
    <row r="147" spans="1:13">
      <c r="A147" s="525" t="s">
        <v>1092</v>
      </c>
      <c r="B147" s="520" t="s">
        <v>264</v>
      </c>
      <c r="C147" s="528">
        <v>4323</v>
      </c>
      <c r="D147" s="522">
        <v>12502670</v>
      </c>
      <c r="E147" s="519" t="s">
        <v>53</v>
      </c>
      <c r="F147" s="543" t="s">
        <v>277</v>
      </c>
      <c r="G147" s="544" t="s">
        <v>639</v>
      </c>
      <c r="H147" s="522" t="s">
        <v>56</v>
      </c>
      <c r="I147" s="541" t="s">
        <v>57</v>
      </c>
      <c r="J147" s="522" t="s">
        <v>58</v>
      </c>
      <c r="K147" s="540" t="s">
        <v>59</v>
      </c>
      <c r="L147" s="521">
        <v>11.7</v>
      </c>
      <c r="M147" s="520" t="s">
        <v>60</v>
      </c>
    </row>
    <row r="148" spans="1:13">
      <c r="A148" s="525" t="s">
        <v>1092</v>
      </c>
      <c r="B148" s="520" t="s">
        <v>264</v>
      </c>
      <c r="C148" s="528">
        <v>4331</v>
      </c>
      <c r="D148" s="522">
        <v>12502670</v>
      </c>
      <c r="E148" s="519" t="s">
        <v>53</v>
      </c>
      <c r="F148" s="543" t="s">
        <v>278</v>
      </c>
      <c r="G148" s="544" t="s">
        <v>639</v>
      </c>
      <c r="H148" s="522" t="s">
        <v>56</v>
      </c>
      <c r="I148" s="541" t="s">
        <v>57</v>
      </c>
      <c r="J148" s="522" t="s">
        <v>58</v>
      </c>
      <c r="K148" s="540" t="s">
        <v>59</v>
      </c>
      <c r="L148" s="521">
        <v>11.7</v>
      </c>
      <c r="M148" s="520" t="s">
        <v>60</v>
      </c>
    </row>
    <row r="149" spans="1:13">
      <c r="A149" s="525" t="s">
        <v>1092</v>
      </c>
      <c r="B149" s="520" t="s">
        <v>264</v>
      </c>
      <c r="C149" s="528">
        <v>4335</v>
      </c>
      <c r="D149" s="522">
        <v>12502670</v>
      </c>
      <c r="E149" s="519" t="s">
        <v>53</v>
      </c>
      <c r="F149" s="543" t="s">
        <v>279</v>
      </c>
      <c r="G149" s="544" t="s">
        <v>639</v>
      </c>
      <c r="H149" s="522" t="s">
        <v>56</v>
      </c>
      <c r="I149" s="541" t="s">
        <v>57</v>
      </c>
      <c r="J149" s="522" t="s">
        <v>58</v>
      </c>
      <c r="K149" s="540" t="s">
        <v>59</v>
      </c>
      <c r="L149" s="521">
        <v>11.7</v>
      </c>
      <c r="M149" s="520" t="s">
        <v>60</v>
      </c>
    </row>
    <row r="150" spans="1:13">
      <c r="A150" s="525" t="s">
        <v>1092</v>
      </c>
      <c r="B150" s="520" t="s">
        <v>264</v>
      </c>
      <c r="C150" s="528" t="s">
        <v>280</v>
      </c>
      <c r="D150" s="522">
        <v>12502670</v>
      </c>
      <c r="E150" s="522" t="s">
        <v>200</v>
      </c>
      <c r="F150" s="543" t="s">
        <v>265</v>
      </c>
      <c r="G150" s="544" t="s">
        <v>639</v>
      </c>
      <c r="H150" s="522" t="s">
        <v>56</v>
      </c>
      <c r="I150" s="541" t="s">
        <v>57</v>
      </c>
      <c r="J150" s="522" t="s">
        <v>58</v>
      </c>
      <c r="K150" s="540" t="s">
        <v>59</v>
      </c>
      <c r="L150" s="521">
        <v>11.7</v>
      </c>
      <c r="M150" s="520" t="s">
        <v>60</v>
      </c>
    </row>
    <row r="151" spans="1:13">
      <c r="A151" s="525" t="s">
        <v>1092</v>
      </c>
      <c r="B151" s="520" t="s">
        <v>264</v>
      </c>
      <c r="C151" s="528" t="s">
        <v>281</v>
      </c>
      <c r="D151" s="522">
        <v>12502670</v>
      </c>
      <c r="E151" s="522" t="s">
        <v>200</v>
      </c>
      <c r="F151" s="543" t="s">
        <v>266</v>
      </c>
      <c r="G151" s="545" t="s">
        <v>892</v>
      </c>
      <c r="H151" s="522" t="s">
        <v>56</v>
      </c>
      <c r="I151" s="541" t="s">
        <v>57</v>
      </c>
      <c r="J151" s="522" t="s">
        <v>58</v>
      </c>
      <c r="K151" s="540" t="s">
        <v>59</v>
      </c>
      <c r="L151" s="521">
        <v>11.7</v>
      </c>
      <c r="M151" s="520" t="s">
        <v>60</v>
      </c>
    </row>
    <row r="152" spans="1:13">
      <c r="A152" s="525" t="s">
        <v>1092</v>
      </c>
      <c r="B152" s="520" t="s">
        <v>264</v>
      </c>
      <c r="C152" s="522" t="s">
        <v>282</v>
      </c>
      <c r="D152" s="522">
        <v>12502670</v>
      </c>
      <c r="E152" s="522" t="s">
        <v>200</v>
      </c>
      <c r="F152" s="543" t="s">
        <v>276</v>
      </c>
      <c r="G152" s="544" t="s">
        <v>639</v>
      </c>
      <c r="H152" s="522" t="s">
        <v>56</v>
      </c>
      <c r="I152" s="541" t="s">
        <v>57</v>
      </c>
      <c r="J152" s="522" t="s">
        <v>58</v>
      </c>
      <c r="K152" s="540" t="s">
        <v>59</v>
      </c>
      <c r="L152" s="521">
        <v>11.7</v>
      </c>
      <c r="M152" s="520" t="s">
        <v>60</v>
      </c>
    </row>
    <row r="153" spans="1:13">
      <c r="A153" s="525" t="s">
        <v>1092</v>
      </c>
      <c r="B153" s="520" t="s">
        <v>264</v>
      </c>
      <c r="C153" s="522" t="s">
        <v>283</v>
      </c>
      <c r="D153" s="522">
        <v>12502670</v>
      </c>
      <c r="E153" s="522" t="s">
        <v>200</v>
      </c>
      <c r="F153" s="543" t="s">
        <v>278</v>
      </c>
      <c r="G153" s="544" t="s">
        <v>639</v>
      </c>
      <c r="H153" s="522" t="s">
        <v>56</v>
      </c>
      <c r="I153" s="541" t="s">
        <v>57</v>
      </c>
      <c r="J153" s="522" t="s">
        <v>58</v>
      </c>
      <c r="K153" s="540" t="s">
        <v>59</v>
      </c>
      <c r="L153" s="521">
        <v>11.7</v>
      </c>
      <c r="M153" s="520" t="s">
        <v>60</v>
      </c>
    </row>
    <row r="154" spans="1:13">
      <c r="A154" s="525" t="s">
        <v>1092</v>
      </c>
      <c r="B154" s="520" t="s">
        <v>264</v>
      </c>
      <c r="C154" s="522" t="s">
        <v>284</v>
      </c>
      <c r="D154" s="522">
        <v>12502670</v>
      </c>
      <c r="E154" s="522" t="s">
        <v>200</v>
      </c>
      <c r="F154" s="543" t="s">
        <v>273</v>
      </c>
      <c r="G154" s="544" t="s">
        <v>639</v>
      </c>
      <c r="H154" s="522" t="s">
        <v>56</v>
      </c>
      <c r="I154" s="541" t="s">
        <v>57</v>
      </c>
      <c r="J154" s="522" t="s">
        <v>58</v>
      </c>
      <c r="K154" s="540" t="s">
        <v>59</v>
      </c>
      <c r="L154" s="521">
        <v>11.7</v>
      </c>
      <c r="M154" s="520" t="s">
        <v>60</v>
      </c>
    </row>
    <row r="155" spans="1:13">
      <c r="A155" s="525" t="s">
        <v>285</v>
      </c>
      <c r="B155" s="520" t="s">
        <v>286</v>
      </c>
      <c r="C155" s="522">
        <v>2001</v>
      </c>
      <c r="D155" s="522">
        <v>12037171</v>
      </c>
      <c r="E155" s="519" t="s">
        <v>53</v>
      </c>
      <c r="F155" s="543" t="s">
        <v>287</v>
      </c>
      <c r="G155" s="523" t="s">
        <v>288</v>
      </c>
      <c r="H155" s="522" t="s">
        <v>56</v>
      </c>
      <c r="I155" s="541" t="s">
        <v>57</v>
      </c>
      <c r="J155" s="522" t="s">
        <v>58</v>
      </c>
      <c r="K155" s="540" t="s">
        <v>59</v>
      </c>
      <c r="L155" s="521">
        <v>10.85</v>
      </c>
      <c r="M155" s="520" t="s">
        <v>60</v>
      </c>
    </row>
    <row r="156" spans="1:13">
      <c r="A156" s="525" t="s">
        <v>285</v>
      </c>
      <c r="B156" s="520" t="s">
        <v>286</v>
      </c>
      <c r="C156" s="522">
        <v>2002</v>
      </c>
      <c r="D156" s="522">
        <v>12037171</v>
      </c>
      <c r="E156" s="519" t="s">
        <v>53</v>
      </c>
      <c r="F156" s="543" t="s">
        <v>289</v>
      </c>
      <c r="G156" s="523" t="s">
        <v>288</v>
      </c>
      <c r="H156" s="522" t="s">
        <v>56</v>
      </c>
      <c r="I156" s="541" t="s">
        <v>57</v>
      </c>
      <c r="J156" s="522" t="s">
        <v>58</v>
      </c>
      <c r="K156" s="540" t="s">
        <v>59</v>
      </c>
      <c r="L156" s="521">
        <v>10.85</v>
      </c>
      <c r="M156" s="520" t="s">
        <v>60</v>
      </c>
    </row>
    <row r="157" spans="1:13">
      <c r="A157" s="525" t="s">
        <v>285</v>
      </c>
      <c r="B157" s="520" t="s">
        <v>286</v>
      </c>
      <c r="C157" s="522">
        <v>2005</v>
      </c>
      <c r="D157" s="522">
        <v>12037171</v>
      </c>
      <c r="E157" s="519" t="s">
        <v>53</v>
      </c>
      <c r="F157" s="543" t="s">
        <v>290</v>
      </c>
      <c r="G157" s="523" t="s">
        <v>288</v>
      </c>
      <c r="H157" s="522" t="s">
        <v>56</v>
      </c>
      <c r="I157" s="541" t="s">
        <v>57</v>
      </c>
      <c r="J157" s="522" t="s">
        <v>58</v>
      </c>
      <c r="K157" s="540" t="s">
        <v>59</v>
      </c>
      <c r="L157" s="521">
        <v>10.85</v>
      </c>
      <c r="M157" s="520" t="s">
        <v>60</v>
      </c>
    </row>
    <row r="158" spans="1:13">
      <c r="A158" s="525" t="s">
        <v>285</v>
      </c>
      <c r="B158" s="520" t="s">
        <v>286</v>
      </c>
      <c r="C158" s="522">
        <v>2006</v>
      </c>
      <c r="D158" s="522">
        <v>12037171</v>
      </c>
      <c r="E158" s="519" t="s">
        <v>53</v>
      </c>
      <c r="F158" s="543" t="s">
        <v>291</v>
      </c>
      <c r="G158" s="523" t="s">
        <v>288</v>
      </c>
      <c r="H158" s="522" t="s">
        <v>56</v>
      </c>
      <c r="I158" s="541" t="s">
        <v>57</v>
      </c>
      <c r="J158" s="522" t="s">
        <v>58</v>
      </c>
      <c r="K158" s="540" t="s">
        <v>59</v>
      </c>
      <c r="L158" s="521">
        <v>10.85</v>
      </c>
      <c r="M158" s="520" t="s">
        <v>60</v>
      </c>
    </row>
    <row r="159" spans="1:13">
      <c r="A159" s="525" t="s">
        <v>285</v>
      </c>
      <c r="B159" s="520" t="s">
        <v>286</v>
      </c>
      <c r="C159" s="522">
        <v>2040</v>
      </c>
      <c r="D159" s="522">
        <v>12037171</v>
      </c>
      <c r="E159" s="519" t="s">
        <v>53</v>
      </c>
      <c r="F159" s="543" t="s">
        <v>292</v>
      </c>
      <c r="G159" s="523" t="s">
        <v>288</v>
      </c>
      <c r="H159" s="522" t="s">
        <v>56</v>
      </c>
      <c r="I159" s="541" t="s">
        <v>57</v>
      </c>
      <c r="J159" s="522" t="s">
        <v>58</v>
      </c>
      <c r="K159" s="540" t="s">
        <v>59</v>
      </c>
      <c r="L159" s="521">
        <v>10.85</v>
      </c>
      <c r="M159" s="520" t="s">
        <v>60</v>
      </c>
    </row>
    <row r="160" spans="1:13">
      <c r="A160" s="525" t="s">
        <v>285</v>
      </c>
      <c r="B160" s="520" t="s">
        <v>286</v>
      </c>
      <c r="C160" s="522">
        <v>2044</v>
      </c>
      <c r="D160" s="522">
        <v>12037171</v>
      </c>
      <c r="E160" s="519" t="s">
        <v>53</v>
      </c>
      <c r="F160" s="534" t="s">
        <v>293</v>
      </c>
      <c r="G160" s="523" t="s">
        <v>288</v>
      </c>
      <c r="H160" s="522" t="s">
        <v>56</v>
      </c>
      <c r="I160" s="541" t="s">
        <v>57</v>
      </c>
      <c r="J160" s="522" t="s">
        <v>58</v>
      </c>
      <c r="K160" s="540" t="s">
        <v>59</v>
      </c>
      <c r="L160" s="521">
        <v>10.85</v>
      </c>
      <c r="M160" s="520" t="s">
        <v>60</v>
      </c>
    </row>
    <row r="161" spans="1:13">
      <c r="A161" s="525" t="s">
        <v>285</v>
      </c>
      <c r="B161" s="520" t="s">
        <v>286</v>
      </c>
      <c r="C161" s="522">
        <v>2063</v>
      </c>
      <c r="D161" s="522">
        <v>12037171</v>
      </c>
      <c r="E161" s="519" t="s">
        <v>53</v>
      </c>
      <c r="F161" s="534" t="s">
        <v>294</v>
      </c>
      <c r="G161" s="523" t="s">
        <v>288</v>
      </c>
      <c r="H161" s="522" t="s">
        <v>56</v>
      </c>
      <c r="I161" s="541" t="s">
        <v>57</v>
      </c>
      <c r="J161" s="522" t="s">
        <v>58</v>
      </c>
      <c r="K161" s="540" t="s">
        <v>59</v>
      </c>
      <c r="L161" s="521">
        <v>10.85</v>
      </c>
      <c r="M161" s="520" t="s">
        <v>60</v>
      </c>
    </row>
    <row r="162" spans="1:13">
      <c r="A162" s="525" t="s">
        <v>285</v>
      </c>
      <c r="B162" s="520" t="s">
        <v>286</v>
      </c>
      <c r="C162" s="542">
        <v>2304</v>
      </c>
      <c r="D162" s="522">
        <v>12037171</v>
      </c>
      <c r="E162" s="519" t="s">
        <v>53</v>
      </c>
      <c r="F162" s="534" t="s">
        <v>295</v>
      </c>
      <c r="G162" s="523" t="s">
        <v>288</v>
      </c>
      <c r="H162" s="522" t="s">
        <v>56</v>
      </c>
      <c r="I162" s="541" t="s">
        <v>57</v>
      </c>
      <c r="J162" s="522" t="s">
        <v>58</v>
      </c>
      <c r="K162" s="540" t="s">
        <v>59</v>
      </c>
      <c r="L162" s="521">
        <v>10.85</v>
      </c>
      <c r="M162" s="520" t="s">
        <v>60</v>
      </c>
    </row>
    <row r="163" spans="1:13">
      <c r="A163" s="525" t="s">
        <v>285</v>
      </c>
      <c r="B163" s="520" t="s">
        <v>286</v>
      </c>
      <c r="C163" s="542">
        <v>2322</v>
      </c>
      <c r="D163" s="522">
        <v>12037171</v>
      </c>
      <c r="E163" s="519" t="s">
        <v>53</v>
      </c>
      <c r="F163" s="534" t="s">
        <v>296</v>
      </c>
      <c r="G163" s="523" t="s">
        <v>288</v>
      </c>
      <c r="H163" s="522" t="s">
        <v>56</v>
      </c>
      <c r="I163" s="541" t="s">
        <v>57</v>
      </c>
      <c r="J163" s="522" t="s">
        <v>58</v>
      </c>
      <c r="K163" s="540" t="s">
        <v>59</v>
      </c>
      <c r="L163" s="521">
        <v>10.85</v>
      </c>
      <c r="M163" s="520" t="s">
        <v>60</v>
      </c>
    </row>
    <row r="164" spans="1:13">
      <c r="A164" s="525" t="s">
        <v>285</v>
      </c>
      <c r="B164" s="520" t="s">
        <v>286</v>
      </c>
      <c r="C164" s="542">
        <v>2373</v>
      </c>
      <c r="D164" s="522">
        <v>12037171</v>
      </c>
      <c r="E164" s="519" t="s">
        <v>53</v>
      </c>
      <c r="F164" s="534" t="s">
        <v>297</v>
      </c>
      <c r="G164" s="523" t="s">
        <v>288</v>
      </c>
      <c r="H164" s="542" t="s">
        <v>56</v>
      </c>
      <c r="I164" s="541" t="s">
        <v>57</v>
      </c>
      <c r="J164" s="522" t="s">
        <v>58</v>
      </c>
      <c r="K164" s="540" t="s">
        <v>59</v>
      </c>
      <c r="L164" s="521">
        <v>10.85</v>
      </c>
      <c r="M164" s="520" t="s">
        <v>60</v>
      </c>
    </row>
    <row r="165" spans="1:13">
      <c r="A165" s="525" t="s">
        <v>285</v>
      </c>
      <c r="B165" s="520" t="s">
        <v>286</v>
      </c>
      <c r="C165" s="542">
        <v>3002</v>
      </c>
      <c r="D165" s="519" t="s">
        <v>298</v>
      </c>
      <c r="E165" s="519" t="s">
        <v>53</v>
      </c>
      <c r="F165" s="518" t="s">
        <v>299</v>
      </c>
      <c r="G165" s="541" t="s">
        <v>300</v>
      </c>
      <c r="H165" s="520" t="s">
        <v>56</v>
      </c>
      <c r="I165" s="541" t="s">
        <v>57</v>
      </c>
      <c r="J165" s="520" t="s">
        <v>58</v>
      </c>
      <c r="K165" s="540" t="s">
        <v>59</v>
      </c>
      <c r="L165" s="521">
        <v>10.199999999999999</v>
      </c>
      <c r="M165" s="520" t="s">
        <v>60</v>
      </c>
    </row>
    <row r="166" spans="1:13">
      <c r="A166" s="525" t="s">
        <v>285</v>
      </c>
      <c r="B166" s="520" t="s">
        <v>286</v>
      </c>
      <c r="C166" s="542">
        <v>3003</v>
      </c>
      <c r="D166" s="519" t="s">
        <v>298</v>
      </c>
      <c r="E166" s="519" t="s">
        <v>53</v>
      </c>
      <c r="F166" s="518" t="s">
        <v>1091</v>
      </c>
      <c r="G166" s="541" t="s">
        <v>300</v>
      </c>
      <c r="H166" s="520" t="s">
        <v>56</v>
      </c>
      <c r="I166" s="541" t="s">
        <v>57</v>
      </c>
      <c r="J166" s="520" t="s">
        <v>58</v>
      </c>
      <c r="K166" s="540" t="s">
        <v>59</v>
      </c>
      <c r="L166" s="521">
        <v>10.199999999999999</v>
      </c>
      <c r="M166" s="520" t="s">
        <v>60</v>
      </c>
    </row>
    <row r="167" spans="1:13">
      <c r="A167" s="525" t="s">
        <v>285</v>
      </c>
      <c r="B167" s="520" t="s">
        <v>286</v>
      </c>
      <c r="C167" s="542">
        <v>3004</v>
      </c>
      <c r="D167" s="519" t="s">
        <v>298</v>
      </c>
      <c r="E167" s="519" t="s">
        <v>53</v>
      </c>
      <c r="F167" s="518" t="s">
        <v>301</v>
      </c>
      <c r="G167" s="541" t="s">
        <v>300</v>
      </c>
      <c r="H167" s="520" t="s">
        <v>56</v>
      </c>
      <c r="I167" s="541" t="s">
        <v>57</v>
      </c>
      <c r="J167" s="520" t="s">
        <v>58</v>
      </c>
      <c r="K167" s="540" t="s">
        <v>59</v>
      </c>
      <c r="L167" s="521">
        <v>10.199999999999999</v>
      </c>
      <c r="M167" s="520" t="s">
        <v>60</v>
      </c>
    </row>
    <row r="168" spans="1:13">
      <c r="A168" s="525" t="s">
        <v>285</v>
      </c>
      <c r="B168" s="520" t="s">
        <v>286</v>
      </c>
      <c r="C168" s="542">
        <v>3005</v>
      </c>
      <c r="D168" s="519" t="s">
        <v>298</v>
      </c>
      <c r="E168" s="519" t="s">
        <v>53</v>
      </c>
      <c r="F168" s="518" t="s">
        <v>302</v>
      </c>
      <c r="G168" s="541" t="s">
        <v>300</v>
      </c>
      <c r="H168" s="520" t="s">
        <v>56</v>
      </c>
      <c r="I168" s="541" t="s">
        <v>57</v>
      </c>
      <c r="J168" s="520" t="s">
        <v>58</v>
      </c>
      <c r="K168" s="540" t="s">
        <v>59</v>
      </c>
      <c r="L168" s="521">
        <v>10.199999999999999</v>
      </c>
      <c r="M168" s="520" t="s">
        <v>60</v>
      </c>
    </row>
    <row r="169" spans="1:13">
      <c r="A169" s="525" t="s">
        <v>285</v>
      </c>
      <c r="B169" s="520" t="s">
        <v>286</v>
      </c>
      <c r="C169" s="542">
        <v>3006</v>
      </c>
      <c r="D169" s="519" t="s">
        <v>298</v>
      </c>
      <c r="E169" s="519" t="s">
        <v>53</v>
      </c>
      <c r="F169" s="541" t="s">
        <v>1090</v>
      </c>
      <c r="G169" s="541" t="s">
        <v>300</v>
      </c>
      <c r="H169" s="520" t="s">
        <v>56</v>
      </c>
      <c r="I169" s="541" t="s">
        <v>57</v>
      </c>
      <c r="J169" s="520" t="s">
        <v>58</v>
      </c>
      <c r="K169" s="540" t="s">
        <v>59</v>
      </c>
      <c r="L169" s="521">
        <v>10.199999999999999</v>
      </c>
      <c r="M169" s="520" t="s">
        <v>60</v>
      </c>
    </row>
    <row r="170" spans="1:13">
      <c r="A170" s="525" t="s">
        <v>285</v>
      </c>
      <c r="B170" s="520" t="s">
        <v>286</v>
      </c>
      <c r="C170" s="542">
        <v>3007</v>
      </c>
      <c r="D170" s="519" t="s">
        <v>298</v>
      </c>
      <c r="E170" s="519" t="s">
        <v>53</v>
      </c>
      <c r="F170" s="518" t="s">
        <v>303</v>
      </c>
      <c r="G170" s="541" t="s">
        <v>300</v>
      </c>
      <c r="H170" s="520" t="s">
        <v>56</v>
      </c>
      <c r="I170" s="541" t="s">
        <v>57</v>
      </c>
      <c r="J170" s="520" t="s">
        <v>58</v>
      </c>
      <c r="K170" s="540" t="s">
        <v>59</v>
      </c>
      <c r="L170" s="521">
        <v>10.199999999999999</v>
      </c>
      <c r="M170" s="520" t="s">
        <v>60</v>
      </c>
    </row>
    <row r="171" spans="1:13">
      <c r="A171" s="525" t="s">
        <v>285</v>
      </c>
      <c r="B171" s="520" t="s">
        <v>286</v>
      </c>
      <c r="C171" s="542">
        <v>3008</v>
      </c>
      <c r="D171" s="519" t="s">
        <v>298</v>
      </c>
      <c r="E171" s="519" t="s">
        <v>53</v>
      </c>
      <c r="F171" s="518" t="s">
        <v>304</v>
      </c>
      <c r="G171" s="541" t="s">
        <v>300</v>
      </c>
      <c r="H171" s="520" t="s">
        <v>56</v>
      </c>
      <c r="I171" s="541" t="s">
        <v>57</v>
      </c>
      <c r="J171" s="520" t="s">
        <v>58</v>
      </c>
      <c r="K171" s="540" t="s">
        <v>59</v>
      </c>
      <c r="L171" s="521">
        <v>10.199999999999999</v>
      </c>
      <c r="M171" s="520" t="s">
        <v>60</v>
      </c>
    </row>
    <row r="172" spans="1:13">
      <c r="A172" s="525" t="s">
        <v>285</v>
      </c>
      <c r="B172" s="520" t="s">
        <v>286</v>
      </c>
      <c r="C172" s="542">
        <v>3012</v>
      </c>
      <c r="D172" s="519" t="s">
        <v>298</v>
      </c>
      <c r="E172" s="519" t="s">
        <v>53</v>
      </c>
      <c r="F172" s="518" t="s">
        <v>1089</v>
      </c>
      <c r="G172" s="541" t="s">
        <v>300</v>
      </c>
      <c r="H172" s="520" t="s">
        <v>56</v>
      </c>
      <c r="I172" s="541" t="s">
        <v>57</v>
      </c>
      <c r="J172" s="520" t="s">
        <v>58</v>
      </c>
      <c r="K172" s="540" t="s">
        <v>59</v>
      </c>
      <c r="L172" s="521">
        <v>10.199999999999999</v>
      </c>
      <c r="M172" s="520" t="s">
        <v>60</v>
      </c>
    </row>
    <row r="173" spans="1:13">
      <c r="A173" s="525" t="s">
        <v>285</v>
      </c>
      <c r="B173" s="520" t="s">
        <v>286</v>
      </c>
      <c r="C173" s="542">
        <v>3015</v>
      </c>
      <c r="D173" s="519" t="s">
        <v>298</v>
      </c>
      <c r="E173" s="519" t="s">
        <v>53</v>
      </c>
      <c r="F173" s="537" t="s">
        <v>1088</v>
      </c>
      <c r="G173" s="541" t="s">
        <v>300</v>
      </c>
      <c r="H173" s="520" t="s">
        <v>56</v>
      </c>
      <c r="I173" s="541" t="s">
        <v>57</v>
      </c>
      <c r="J173" s="520" t="s">
        <v>58</v>
      </c>
      <c r="K173" s="540" t="s">
        <v>59</v>
      </c>
      <c r="L173" s="521">
        <v>10.199999999999999</v>
      </c>
      <c r="M173" s="520" t="s">
        <v>60</v>
      </c>
    </row>
    <row r="174" spans="1:13">
      <c r="A174" s="525" t="s">
        <v>285</v>
      </c>
      <c r="B174" s="520" t="s">
        <v>286</v>
      </c>
      <c r="C174" s="542">
        <v>3018</v>
      </c>
      <c r="D174" s="519" t="s">
        <v>298</v>
      </c>
      <c r="E174" s="519" t="s">
        <v>53</v>
      </c>
      <c r="F174" s="518" t="s">
        <v>305</v>
      </c>
      <c r="G174" s="541" t="s">
        <v>300</v>
      </c>
      <c r="H174" s="520" t="s">
        <v>56</v>
      </c>
      <c r="I174" s="541" t="s">
        <v>57</v>
      </c>
      <c r="J174" s="520" t="s">
        <v>58</v>
      </c>
      <c r="K174" s="540" t="s">
        <v>59</v>
      </c>
      <c r="L174" s="521">
        <v>10.199999999999999</v>
      </c>
      <c r="M174" s="520" t="s">
        <v>60</v>
      </c>
    </row>
    <row r="175" spans="1:13">
      <c r="A175" s="525" t="s">
        <v>285</v>
      </c>
      <c r="B175" s="520" t="s">
        <v>286</v>
      </c>
      <c r="C175" s="542">
        <v>3020</v>
      </c>
      <c r="D175" s="519" t="s">
        <v>298</v>
      </c>
      <c r="E175" s="519" t="s">
        <v>53</v>
      </c>
      <c r="F175" s="518" t="s">
        <v>306</v>
      </c>
      <c r="G175" s="541" t="s">
        <v>300</v>
      </c>
      <c r="H175" s="520" t="s">
        <v>56</v>
      </c>
      <c r="I175" s="541" t="s">
        <v>57</v>
      </c>
      <c r="J175" s="520" t="s">
        <v>58</v>
      </c>
      <c r="K175" s="540" t="s">
        <v>59</v>
      </c>
      <c r="L175" s="521">
        <v>10.199999999999999</v>
      </c>
      <c r="M175" s="520" t="s">
        <v>60</v>
      </c>
    </row>
    <row r="176" spans="1:13">
      <c r="A176" s="525" t="s">
        <v>285</v>
      </c>
      <c r="B176" s="520" t="s">
        <v>286</v>
      </c>
      <c r="C176" s="542">
        <v>3021</v>
      </c>
      <c r="D176" s="519" t="s">
        <v>298</v>
      </c>
      <c r="E176" s="519" t="s">
        <v>53</v>
      </c>
      <c r="F176" s="518" t="s">
        <v>307</v>
      </c>
      <c r="G176" s="541" t="s">
        <v>300</v>
      </c>
      <c r="H176" s="520" t="s">
        <v>56</v>
      </c>
      <c r="I176" s="541" t="s">
        <v>57</v>
      </c>
      <c r="J176" s="520" t="s">
        <v>58</v>
      </c>
      <c r="K176" s="540" t="s">
        <v>59</v>
      </c>
      <c r="L176" s="521">
        <v>10.199999999999999</v>
      </c>
      <c r="M176" s="520" t="s">
        <v>60</v>
      </c>
    </row>
    <row r="177" spans="1:13">
      <c r="A177" s="525" t="s">
        <v>285</v>
      </c>
      <c r="B177" s="520" t="s">
        <v>286</v>
      </c>
      <c r="C177" s="542">
        <v>3050</v>
      </c>
      <c r="D177" s="519" t="s">
        <v>298</v>
      </c>
      <c r="E177" s="519" t="s">
        <v>53</v>
      </c>
      <c r="F177" s="518" t="s">
        <v>308</v>
      </c>
      <c r="G177" s="541" t="s">
        <v>300</v>
      </c>
      <c r="H177" s="520" t="s">
        <v>56</v>
      </c>
      <c r="I177" s="541" t="s">
        <v>57</v>
      </c>
      <c r="J177" s="520" t="s">
        <v>58</v>
      </c>
      <c r="K177" s="540" t="s">
        <v>59</v>
      </c>
      <c r="L177" s="521">
        <v>10.199999999999999</v>
      </c>
      <c r="M177" s="520" t="s">
        <v>60</v>
      </c>
    </row>
    <row r="178" spans="1:13">
      <c r="A178" s="525" t="s">
        <v>285</v>
      </c>
      <c r="B178" s="520" t="s">
        <v>286</v>
      </c>
      <c r="C178" s="542">
        <v>3051</v>
      </c>
      <c r="D178" s="519" t="s">
        <v>298</v>
      </c>
      <c r="E178" s="519" t="s">
        <v>53</v>
      </c>
      <c r="F178" s="518" t="s">
        <v>309</v>
      </c>
      <c r="G178" s="541" t="s">
        <v>300</v>
      </c>
      <c r="H178" s="520" t="s">
        <v>56</v>
      </c>
      <c r="I178" s="541" t="s">
        <v>57</v>
      </c>
      <c r="J178" s="520" t="s">
        <v>58</v>
      </c>
      <c r="K178" s="540" t="s">
        <v>59</v>
      </c>
      <c r="L178" s="521">
        <v>10.199999999999999</v>
      </c>
      <c r="M178" s="520" t="s">
        <v>60</v>
      </c>
    </row>
    <row r="179" spans="1:13">
      <c r="A179" s="525" t="s">
        <v>285</v>
      </c>
      <c r="B179" s="520" t="s">
        <v>286</v>
      </c>
      <c r="C179" s="542">
        <v>3072</v>
      </c>
      <c r="D179" s="519" t="s">
        <v>298</v>
      </c>
      <c r="E179" s="519" t="s">
        <v>53</v>
      </c>
      <c r="F179" s="518" t="s">
        <v>310</v>
      </c>
      <c r="G179" s="541" t="s">
        <v>300</v>
      </c>
      <c r="H179" s="520" t="s">
        <v>56</v>
      </c>
      <c r="I179" s="541" t="s">
        <v>57</v>
      </c>
      <c r="J179" s="520" t="s">
        <v>58</v>
      </c>
      <c r="K179" s="540" t="s">
        <v>59</v>
      </c>
      <c r="L179" s="521">
        <v>10.199999999999999</v>
      </c>
      <c r="M179" s="520" t="s">
        <v>60</v>
      </c>
    </row>
    <row r="180" spans="1:13">
      <c r="A180" s="525" t="s">
        <v>285</v>
      </c>
      <c r="B180" s="520" t="s">
        <v>286</v>
      </c>
      <c r="C180" s="542">
        <v>3075</v>
      </c>
      <c r="D180" s="519" t="s">
        <v>298</v>
      </c>
      <c r="E180" s="519" t="s">
        <v>53</v>
      </c>
      <c r="F180" s="518" t="s">
        <v>311</v>
      </c>
      <c r="G180" s="541" t="s">
        <v>300</v>
      </c>
      <c r="H180" s="520" t="s">
        <v>56</v>
      </c>
      <c r="I180" s="541" t="s">
        <v>57</v>
      </c>
      <c r="J180" s="520" t="s">
        <v>58</v>
      </c>
      <c r="K180" s="540" t="s">
        <v>59</v>
      </c>
      <c r="L180" s="521">
        <v>10.199999999999999</v>
      </c>
      <c r="M180" s="520" t="s">
        <v>60</v>
      </c>
    </row>
    <row r="181" spans="1:13">
      <c r="A181" s="525" t="s">
        <v>285</v>
      </c>
      <c r="B181" s="520" t="s">
        <v>286</v>
      </c>
      <c r="C181" s="542">
        <v>3079</v>
      </c>
      <c r="D181" s="519" t="s">
        <v>298</v>
      </c>
      <c r="E181" s="519" t="s">
        <v>53</v>
      </c>
      <c r="F181" s="518" t="s">
        <v>312</v>
      </c>
      <c r="G181" s="541" t="s">
        <v>300</v>
      </c>
      <c r="H181" s="520" t="s">
        <v>56</v>
      </c>
      <c r="I181" s="541" t="s">
        <v>57</v>
      </c>
      <c r="J181" s="520" t="s">
        <v>58</v>
      </c>
      <c r="K181" s="540" t="s">
        <v>59</v>
      </c>
      <c r="L181" s="521">
        <v>10.199999999999999</v>
      </c>
      <c r="M181" s="520" t="s">
        <v>60</v>
      </c>
    </row>
    <row r="182" spans="1:13">
      <c r="A182" s="525" t="s">
        <v>285</v>
      </c>
      <c r="B182" s="520" t="s">
        <v>286</v>
      </c>
      <c r="C182" s="542">
        <v>3080</v>
      </c>
      <c r="D182" s="519" t="s">
        <v>298</v>
      </c>
      <c r="E182" s="519" t="s">
        <v>53</v>
      </c>
      <c r="F182" s="518" t="s">
        <v>313</v>
      </c>
      <c r="G182" s="541" t="s">
        <v>300</v>
      </c>
      <c r="H182" s="520" t="s">
        <v>56</v>
      </c>
      <c r="I182" s="541" t="s">
        <v>57</v>
      </c>
      <c r="J182" s="520" t="s">
        <v>58</v>
      </c>
      <c r="K182" s="540" t="s">
        <v>59</v>
      </c>
      <c r="L182" s="521">
        <v>10.199999999999999</v>
      </c>
      <c r="M182" s="520" t="s">
        <v>60</v>
      </c>
    </row>
    <row r="183" spans="1:13">
      <c r="A183" s="525" t="s">
        <v>285</v>
      </c>
      <c r="B183" s="520" t="s">
        <v>286</v>
      </c>
      <c r="C183" s="542">
        <v>3303</v>
      </c>
      <c r="D183" s="519" t="s">
        <v>298</v>
      </c>
      <c r="E183" s="519" t="s">
        <v>53</v>
      </c>
      <c r="F183" s="518" t="s">
        <v>314</v>
      </c>
      <c r="G183" s="541" t="s">
        <v>300</v>
      </c>
      <c r="H183" s="520" t="s">
        <v>56</v>
      </c>
      <c r="I183" s="541" t="s">
        <v>57</v>
      </c>
      <c r="J183" s="520" t="s">
        <v>58</v>
      </c>
      <c r="K183" s="540" t="s">
        <v>59</v>
      </c>
      <c r="L183" s="521">
        <v>10.199999999999999</v>
      </c>
      <c r="M183" s="520" t="s">
        <v>60</v>
      </c>
    </row>
    <row r="184" spans="1:13">
      <c r="A184" s="525" t="s">
        <v>285</v>
      </c>
      <c r="B184" s="520" t="s">
        <v>286</v>
      </c>
      <c r="C184" s="542">
        <v>3304</v>
      </c>
      <c r="D184" s="519" t="s">
        <v>298</v>
      </c>
      <c r="E184" s="519" t="s">
        <v>53</v>
      </c>
      <c r="F184" s="518" t="s">
        <v>315</v>
      </c>
      <c r="G184" s="541" t="s">
        <v>300</v>
      </c>
      <c r="H184" s="520" t="s">
        <v>56</v>
      </c>
      <c r="I184" s="541" t="s">
        <v>57</v>
      </c>
      <c r="J184" s="520" t="s">
        <v>58</v>
      </c>
      <c r="K184" s="540" t="s">
        <v>59</v>
      </c>
      <c r="L184" s="521">
        <v>10.199999999999999</v>
      </c>
      <c r="M184" s="520" t="s">
        <v>60</v>
      </c>
    </row>
    <row r="185" spans="1:13">
      <c r="A185" s="525" t="s">
        <v>285</v>
      </c>
      <c r="B185" s="520" t="s">
        <v>286</v>
      </c>
      <c r="C185" s="542">
        <v>3305</v>
      </c>
      <c r="D185" s="519" t="s">
        <v>298</v>
      </c>
      <c r="E185" s="519" t="s">
        <v>53</v>
      </c>
      <c r="F185" s="518" t="s">
        <v>316</v>
      </c>
      <c r="G185" s="541" t="s">
        <v>300</v>
      </c>
      <c r="H185" s="520" t="s">
        <v>56</v>
      </c>
      <c r="I185" s="541" t="s">
        <v>57</v>
      </c>
      <c r="J185" s="520" t="s">
        <v>58</v>
      </c>
      <c r="K185" s="540" t="s">
        <v>59</v>
      </c>
      <c r="L185" s="521">
        <v>10.199999999999999</v>
      </c>
      <c r="M185" s="520" t="s">
        <v>60</v>
      </c>
    </row>
    <row r="186" spans="1:13">
      <c r="A186" s="525" t="s">
        <v>285</v>
      </c>
      <c r="B186" s="520" t="s">
        <v>286</v>
      </c>
      <c r="C186" s="542">
        <v>3306</v>
      </c>
      <c r="D186" s="519" t="s">
        <v>298</v>
      </c>
      <c r="E186" s="519" t="s">
        <v>53</v>
      </c>
      <c r="F186" s="518" t="s">
        <v>317</v>
      </c>
      <c r="G186" s="541" t="s">
        <v>300</v>
      </c>
      <c r="H186" s="520" t="s">
        <v>56</v>
      </c>
      <c r="I186" s="541" t="s">
        <v>57</v>
      </c>
      <c r="J186" s="520" t="s">
        <v>58</v>
      </c>
      <c r="K186" s="540" t="s">
        <v>59</v>
      </c>
      <c r="L186" s="521">
        <v>10.199999999999999</v>
      </c>
      <c r="M186" s="520" t="s">
        <v>60</v>
      </c>
    </row>
    <row r="187" spans="1:13">
      <c r="A187" s="525" t="s">
        <v>285</v>
      </c>
      <c r="B187" s="520" t="s">
        <v>286</v>
      </c>
      <c r="C187" s="542">
        <v>3320</v>
      </c>
      <c r="D187" s="519" t="s">
        <v>298</v>
      </c>
      <c r="E187" s="519" t="s">
        <v>53</v>
      </c>
      <c r="F187" s="518" t="s">
        <v>318</v>
      </c>
      <c r="G187" s="541" t="s">
        <v>300</v>
      </c>
      <c r="H187" s="520" t="s">
        <v>56</v>
      </c>
      <c r="I187" s="541" t="s">
        <v>57</v>
      </c>
      <c r="J187" s="520" t="s">
        <v>58</v>
      </c>
      <c r="K187" s="540" t="s">
        <v>59</v>
      </c>
      <c r="L187" s="521">
        <v>10.199999999999999</v>
      </c>
      <c r="M187" s="520" t="s">
        <v>60</v>
      </c>
    </row>
    <row r="188" spans="1:13">
      <c r="A188" s="525" t="s">
        <v>285</v>
      </c>
      <c r="B188" s="520" t="s">
        <v>286</v>
      </c>
      <c r="C188" s="542">
        <v>3321</v>
      </c>
      <c r="D188" s="519" t="s">
        <v>298</v>
      </c>
      <c r="E188" s="519" t="s">
        <v>53</v>
      </c>
      <c r="F188" s="537" t="s">
        <v>1087</v>
      </c>
      <c r="G188" s="541" t="s">
        <v>300</v>
      </c>
      <c r="H188" s="520" t="s">
        <v>56</v>
      </c>
      <c r="I188" s="541" t="s">
        <v>57</v>
      </c>
      <c r="J188" s="520" t="s">
        <v>58</v>
      </c>
      <c r="K188" s="540" t="s">
        <v>59</v>
      </c>
      <c r="L188" s="521">
        <v>10.199999999999999</v>
      </c>
      <c r="M188" s="520" t="s">
        <v>60</v>
      </c>
    </row>
    <row r="189" spans="1:13">
      <c r="A189" s="525" t="s">
        <v>285</v>
      </c>
      <c r="B189" s="520" t="s">
        <v>286</v>
      </c>
      <c r="C189" s="542">
        <v>3322</v>
      </c>
      <c r="D189" s="519" t="s">
        <v>298</v>
      </c>
      <c r="E189" s="519" t="s">
        <v>53</v>
      </c>
      <c r="F189" s="534" t="s">
        <v>319</v>
      </c>
      <c r="G189" s="541" t="s">
        <v>300</v>
      </c>
      <c r="H189" s="520" t="s">
        <v>56</v>
      </c>
      <c r="I189" s="541" t="s">
        <v>57</v>
      </c>
      <c r="J189" s="520" t="s">
        <v>58</v>
      </c>
      <c r="K189" s="540" t="s">
        <v>59</v>
      </c>
      <c r="L189" s="521">
        <v>10.199999999999999</v>
      </c>
      <c r="M189" s="520" t="s">
        <v>60</v>
      </c>
    </row>
    <row r="190" spans="1:13">
      <c r="A190" s="525" t="s">
        <v>285</v>
      </c>
      <c r="B190" s="520" t="s">
        <v>286</v>
      </c>
      <c r="C190" s="542">
        <v>3323</v>
      </c>
      <c r="D190" s="519" t="s">
        <v>298</v>
      </c>
      <c r="E190" s="519" t="s">
        <v>53</v>
      </c>
      <c r="F190" s="534" t="s">
        <v>1086</v>
      </c>
      <c r="G190" s="541" t="s">
        <v>300</v>
      </c>
      <c r="H190" s="520" t="s">
        <v>56</v>
      </c>
      <c r="I190" s="541" t="s">
        <v>57</v>
      </c>
      <c r="J190" s="520" t="s">
        <v>58</v>
      </c>
      <c r="K190" s="540" t="s">
        <v>59</v>
      </c>
      <c r="L190" s="521">
        <v>10.199999999999999</v>
      </c>
      <c r="M190" s="520"/>
    </row>
    <row r="191" spans="1:13">
      <c r="A191" s="525" t="s">
        <v>285</v>
      </c>
      <c r="B191" s="520" t="s">
        <v>286</v>
      </c>
      <c r="C191" s="542">
        <v>3302</v>
      </c>
      <c r="D191" s="519" t="s">
        <v>298</v>
      </c>
      <c r="E191" s="519" t="s">
        <v>53</v>
      </c>
      <c r="F191" s="518" t="s">
        <v>320</v>
      </c>
      <c r="G191" s="541" t="s">
        <v>300</v>
      </c>
      <c r="H191" s="520" t="s">
        <v>56</v>
      </c>
      <c r="I191" s="541" t="s">
        <v>57</v>
      </c>
      <c r="J191" s="520" t="s">
        <v>58</v>
      </c>
      <c r="K191" s="540" t="s">
        <v>59</v>
      </c>
      <c r="L191" s="521">
        <v>10.199999999999999</v>
      </c>
      <c r="M191" s="520" t="s">
        <v>60</v>
      </c>
    </row>
    <row r="192" spans="1:13">
      <c r="A192" s="525" t="s">
        <v>285</v>
      </c>
      <c r="B192" s="520" t="s">
        <v>286</v>
      </c>
      <c r="C192" s="542">
        <v>3001</v>
      </c>
      <c r="D192" s="519" t="s">
        <v>298</v>
      </c>
      <c r="E192" s="519" t="s">
        <v>53</v>
      </c>
      <c r="F192" s="518" t="s">
        <v>321</v>
      </c>
      <c r="G192" s="541" t="s">
        <v>300</v>
      </c>
      <c r="H192" s="520" t="s">
        <v>56</v>
      </c>
      <c r="I192" s="541" t="s">
        <v>57</v>
      </c>
      <c r="J192" s="520" t="s">
        <v>58</v>
      </c>
      <c r="K192" s="540" t="s">
        <v>59</v>
      </c>
      <c r="L192" s="521">
        <v>10.199999999999999</v>
      </c>
      <c r="M192" s="520" t="s">
        <v>60</v>
      </c>
    </row>
    <row r="193" spans="1:13">
      <c r="A193" s="525" t="s">
        <v>285</v>
      </c>
      <c r="B193" s="520" t="s">
        <v>286</v>
      </c>
      <c r="C193" s="542">
        <v>3014</v>
      </c>
      <c r="D193" s="519" t="s">
        <v>298</v>
      </c>
      <c r="E193" s="519" t="s">
        <v>53</v>
      </c>
      <c r="F193" s="518" t="s">
        <v>322</v>
      </c>
      <c r="G193" s="541" t="s">
        <v>300</v>
      </c>
      <c r="H193" s="520" t="s">
        <v>56</v>
      </c>
      <c r="I193" s="541" t="s">
        <v>57</v>
      </c>
      <c r="J193" s="520" t="s">
        <v>58</v>
      </c>
      <c r="K193" s="540" t="s">
        <v>59</v>
      </c>
      <c r="L193" s="521">
        <v>10.199999999999999</v>
      </c>
      <c r="M193" s="520" t="s">
        <v>60</v>
      </c>
    </row>
    <row r="194" spans="1:13">
      <c r="A194" s="525" t="s">
        <v>285</v>
      </c>
      <c r="B194" s="520" t="s">
        <v>286</v>
      </c>
      <c r="C194" s="542">
        <v>3324</v>
      </c>
      <c r="D194" s="519" t="s">
        <v>298</v>
      </c>
      <c r="E194" s="519" t="s">
        <v>53</v>
      </c>
      <c r="F194" s="518" t="s">
        <v>323</v>
      </c>
      <c r="G194" s="541" t="s">
        <v>300</v>
      </c>
      <c r="H194" s="520" t="s">
        <v>56</v>
      </c>
      <c r="I194" s="541" t="s">
        <v>57</v>
      </c>
      <c r="J194" s="520" t="s">
        <v>58</v>
      </c>
      <c r="K194" s="540" t="s">
        <v>59</v>
      </c>
      <c r="L194" s="521">
        <v>10.199999999999999</v>
      </c>
      <c r="M194" s="520" t="s">
        <v>60</v>
      </c>
    </row>
    <row r="195" spans="1:13">
      <c r="A195" s="525" t="s">
        <v>285</v>
      </c>
      <c r="B195" s="520" t="s">
        <v>286</v>
      </c>
      <c r="C195" s="522">
        <v>3802</v>
      </c>
      <c r="D195" s="520">
        <v>12098070</v>
      </c>
      <c r="E195" s="519" t="s">
        <v>53</v>
      </c>
      <c r="F195" s="518" t="s">
        <v>324</v>
      </c>
      <c r="G195" s="541" t="s">
        <v>300</v>
      </c>
      <c r="H195" s="520" t="s">
        <v>56</v>
      </c>
      <c r="I195" s="541" t="s">
        <v>146</v>
      </c>
      <c r="J195" s="520" t="s">
        <v>58</v>
      </c>
      <c r="K195" s="540" t="s">
        <v>59</v>
      </c>
      <c r="L195" s="521">
        <v>8.1</v>
      </c>
      <c r="M195" s="520" t="s">
        <v>60</v>
      </c>
    </row>
    <row r="196" spans="1:13">
      <c r="A196" s="525" t="s">
        <v>285</v>
      </c>
      <c r="B196" s="520" t="s">
        <v>286</v>
      </c>
      <c r="C196" s="522">
        <v>3803</v>
      </c>
      <c r="D196" s="520">
        <v>12098070</v>
      </c>
      <c r="E196" s="519" t="s">
        <v>53</v>
      </c>
      <c r="F196" s="534" t="s">
        <v>325</v>
      </c>
      <c r="G196" s="541" t="s">
        <v>300</v>
      </c>
      <c r="H196" s="520" t="s">
        <v>56</v>
      </c>
      <c r="I196" s="541" t="s">
        <v>146</v>
      </c>
      <c r="J196" s="520" t="s">
        <v>58</v>
      </c>
      <c r="K196" s="540" t="s">
        <v>59</v>
      </c>
      <c r="L196" s="521">
        <v>8.1</v>
      </c>
      <c r="M196" s="520" t="s">
        <v>60</v>
      </c>
    </row>
    <row r="197" spans="1:13">
      <c r="A197" s="525" t="s">
        <v>285</v>
      </c>
      <c r="B197" s="520" t="s">
        <v>286</v>
      </c>
      <c r="C197" s="522">
        <v>3804</v>
      </c>
      <c r="D197" s="520">
        <v>12098070</v>
      </c>
      <c r="E197" s="519" t="s">
        <v>53</v>
      </c>
      <c r="F197" s="534" t="s">
        <v>326</v>
      </c>
      <c r="G197" s="541" t="s">
        <v>300</v>
      </c>
      <c r="H197" s="520" t="s">
        <v>56</v>
      </c>
      <c r="I197" s="541" t="s">
        <v>146</v>
      </c>
      <c r="J197" s="520" t="s">
        <v>58</v>
      </c>
      <c r="K197" s="540" t="s">
        <v>59</v>
      </c>
      <c r="L197" s="521">
        <v>8.1</v>
      </c>
      <c r="M197" s="520" t="s">
        <v>60</v>
      </c>
    </row>
    <row r="198" spans="1:13">
      <c r="A198" s="525" t="s">
        <v>285</v>
      </c>
      <c r="B198" s="520" t="s">
        <v>286</v>
      </c>
      <c r="C198" s="522">
        <v>3805</v>
      </c>
      <c r="D198" s="520">
        <v>12098070</v>
      </c>
      <c r="E198" s="519" t="s">
        <v>53</v>
      </c>
      <c r="F198" s="534" t="s">
        <v>327</v>
      </c>
      <c r="G198" s="541" t="s">
        <v>300</v>
      </c>
      <c r="H198" s="520" t="s">
        <v>56</v>
      </c>
      <c r="I198" s="541" t="s">
        <v>146</v>
      </c>
      <c r="J198" s="520" t="s">
        <v>58</v>
      </c>
      <c r="K198" s="540" t="s">
        <v>59</v>
      </c>
      <c r="L198" s="521">
        <v>8.1</v>
      </c>
      <c r="M198" s="520" t="s">
        <v>60</v>
      </c>
    </row>
    <row r="199" spans="1:13">
      <c r="A199" s="525" t="s">
        <v>285</v>
      </c>
      <c r="B199" s="520" t="s">
        <v>286</v>
      </c>
      <c r="C199" s="522">
        <v>3807</v>
      </c>
      <c r="D199" s="520">
        <v>12098070</v>
      </c>
      <c r="E199" s="519" t="s">
        <v>53</v>
      </c>
      <c r="F199" s="534" t="s">
        <v>328</v>
      </c>
      <c r="G199" s="541" t="s">
        <v>300</v>
      </c>
      <c r="H199" s="520" t="s">
        <v>56</v>
      </c>
      <c r="I199" s="541" t="s">
        <v>146</v>
      </c>
      <c r="J199" s="520" t="s">
        <v>58</v>
      </c>
      <c r="K199" s="540" t="s">
        <v>59</v>
      </c>
      <c r="L199" s="521">
        <v>8.1</v>
      </c>
      <c r="M199" s="520" t="s">
        <v>60</v>
      </c>
    </row>
    <row r="200" spans="1:13">
      <c r="A200" s="525" t="s">
        <v>285</v>
      </c>
      <c r="B200" s="520" t="s">
        <v>286</v>
      </c>
      <c r="C200" s="522">
        <v>3809</v>
      </c>
      <c r="D200" s="520">
        <v>12098070</v>
      </c>
      <c r="E200" s="519" t="s">
        <v>53</v>
      </c>
      <c r="F200" s="534" t="s">
        <v>329</v>
      </c>
      <c r="G200" s="541" t="s">
        <v>300</v>
      </c>
      <c r="H200" s="520" t="s">
        <v>56</v>
      </c>
      <c r="I200" s="541" t="s">
        <v>146</v>
      </c>
      <c r="J200" s="520" t="s">
        <v>58</v>
      </c>
      <c r="K200" s="540" t="s">
        <v>59</v>
      </c>
      <c r="L200" s="521">
        <v>8.1</v>
      </c>
      <c r="M200" s="520" t="s">
        <v>60</v>
      </c>
    </row>
    <row r="201" spans="1:13">
      <c r="A201" s="525" t="s">
        <v>285</v>
      </c>
      <c r="B201" s="520" t="s">
        <v>286</v>
      </c>
      <c r="C201" s="522">
        <v>3810</v>
      </c>
      <c r="D201" s="520">
        <v>12098070</v>
      </c>
      <c r="E201" s="519" t="s">
        <v>53</v>
      </c>
      <c r="F201" s="534" t="s">
        <v>330</v>
      </c>
      <c r="G201" s="541" t="s">
        <v>300</v>
      </c>
      <c r="H201" s="520" t="s">
        <v>56</v>
      </c>
      <c r="I201" s="541" t="s">
        <v>146</v>
      </c>
      <c r="J201" s="520" t="s">
        <v>58</v>
      </c>
      <c r="K201" s="540" t="s">
        <v>59</v>
      </c>
      <c r="L201" s="521">
        <v>8.1</v>
      </c>
      <c r="M201" s="520" t="s">
        <v>60</v>
      </c>
    </row>
    <row r="202" spans="1:13">
      <c r="A202" s="525" t="s">
        <v>285</v>
      </c>
      <c r="B202" s="520" t="s">
        <v>286</v>
      </c>
      <c r="C202" s="522">
        <v>3812</v>
      </c>
      <c r="D202" s="520">
        <v>12098070</v>
      </c>
      <c r="E202" s="519" t="s">
        <v>53</v>
      </c>
      <c r="F202" s="534" t="s">
        <v>331</v>
      </c>
      <c r="G202" s="541" t="s">
        <v>300</v>
      </c>
      <c r="H202" s="520" t="s">
        <v>56</v>
      </c>
      <c r="I202" s="541" t="s">
        <v>146</v>
      </c>
      <c r="J202" s="520" t="s">
        <v>58</v>
      </c>
      <c r="K202" s="540" t="s">
        <v>59</v>
      </c>
      <c r="L202" s="521">
        <v>8.1</v>
      </c>
      <c r="M202" s="520" t="s">
        <v>60</v>
      </c>
    </row>
    <row r="203" spans="1:13">
      <c r="A203" s="525" t="s">
        <v>285</v>
      </c>
      <c r="B203" s="520" t="s">
        <v>286</v>
      </c>
      <c r="C203" s="522">
        <v>3814</v>
      </c>
      <c r="D203" s="520">
        <v>12098070</v>
      </c>
      <c r="E203" s="519" t="s">
        <v>53</v>
      </c>
      <c r="F203" s="534" t="s">
        <v>332</v>
      </c>
      <c r="G203" s="541" t="s">
        <v>300</v>
      </c>
      <c r="H203" s="520" t="s">
        <v>56</v>
      </c>
      <c r="I203" s="541" t="s">
        <v>146</v>
      </c>
      <c r="J203" s="520" t="s">
        <v>58</v>
      </c>
      <c r="K203" s="540" t="s">
        <v>59</v>
      </c>
      <c r="L203" s="521">
        <v>8.1</v>
      </c>
      <c r="M203" s="520" t="s">
        <v>60</v>
      </c>
    </row>
    <row r="204" spans="1:13">
      <c r="A204" s="525" t="s">
        <v>285</v>
      </c>
      <c r="B204" s="520" t="s">
        <v>286</v>
      </c>
      <c r="C204" s="522">
        <v>3815</v>
      </c>
      <c r="D204" s="520">
        <v>12098070</v>
      </c>
      <c r="E204" s="519" t="s">
        <v>53</v>
      </c>
      <c r="F204" s="534" t="s">
        <v>333</v>
      </c>
      <c r="G204" s="541" t="s">
        <v>300</v>
      </c>
      <c r="H204" s="520" t="s">
        <v>56</v>
      </c>
      <c r="I204" s="541" t="s">
        <v>146</v>
      </c>
      <c r="J204" s="520" t="s">
        <v>58</v>
      </c>
      <c r="K204" s="540" t="s">
        <v>59</v>
      </c>
      <c r="L204" s="521">
        <v>8.1</v>
      </c>
      <c r="M204" s="520" t="s">
        <v>60</v>
      </c>
    </row>
    <row r="205" spans="1:13">
      <c r="A205" s="525" t="s">
        <v>285</v>
      </c>
      <c r="B205" s="520" t="s">
        <v>286</v>
      </c>
      <c r="C205" s="522">
        <v>3818</v>
      </c>
      <c r="D205" s="520">
        <v>12098070</v>
      </c>
      <c r="E205" s="519" t="s">
        <v>53</v>
      </c>
      <c r="F205" s="534" t="s">
        <v>334</v>
      </c>
      <c r="G205" s="541" t="s">
        <v>300</v>
      </c>
      <c r="H205" s="520" t="s">
        <v>56</v>
      </c>
      <c r="I205" s="541" t="s">
        <v>146</v>
      </c>
      <c r="J205" s="520" t="s">
        <v>58</v>
      </c>
      <c r="K205" s="540" t="s">
        <v>59</v>
      </c>
      <c r="L205" s="521">
        <v>8.1</v>
      </c>
      <c r="M205" s="520" t="s">
        <v>60</v>
      </c>
    </row>
    <row r="206" spans="1:13">
      <c r="A206" s="525" t="s">
        <v>285</v>
      </c>
      <c r="B206" s="520" t="s">
        <v>335</v>
      </c>
      <c r="C206" s="528">
        <v>2401</v>
      </c>
      <c r="D206" s="542">
        <v>12240070</v>
      </c>
      <c r="E206" s="519" t="s">
        <v>53</v>
      </c>
      <c r="F206" s="536" t="s">
        <v>336</v>
      </c>
      <c r="G206" s="541" t="s">
        <v>288</v>
      </c>
      <c r="H206" s="520" t="s">
        <v>56</v>
      </c>
      <c r="I206" s="541" t="s">
        <v>337</v>
      </c>
      <c r="J206" s="520" t="s">
        <v>58</v>
      </c>
      <c r="K206" s="540" t="s">
        <v>338</v>
      </c>
      <c r="L206" s="521">
        <v>5.15</v>
      </c>
      <c r="M206" s="520" t="s">
        <v>60</v>
      </c>
    </row>
    <row r="207" spans="1:13">
      <c r="A207" s="525" t="s">
        <v>285</v>
      </c>
      <c r="B207" s="520" t="s">
        <v>335</v>
      </c>
      <c r="C207" s="522">
        <v>2402</v>
      </c>
      <c r="D207" s="542">
        <v>12240070</v>
      </c>
      <c r="E207" s="519" t="s">
        <v>53</v>
      </c>
      <c r="F207" s="536" t="s">
        <v>339</v>
      </c>
      <c r="G207" s="541" t="s">
        <v>288</v>
      </c>
      <c r="H207" s="520" t="s">
        <v>56</v>
      </c>
      <c r="I207" s="541" t="s">
        <v>337</v>
      </c>
      <c r="J207" s="520" t="s">
        <v>58</v>
      </c>
      <c r="K207" s="540" t="s">
        <v>338</v>
      </c>
      <c r="L207" s="521">
        <v>5.15</v>
      </c>
      <c r="M207" s="520" t="s">
        <v>60</v>
      </c>
    </row>
    <row r="208" spans="1:13">
      <c r="A208" s="525" t="s">
        <v>285</v>
      </c>
      <c r="B208" s="520" t="s">
        <v>335</v>
      </c>
      <c r="C208" s="522">
        <v>2405</v>
      </c>
      <c r="D208" s="542">
        <v>12240070</v>
      </c>
      <c r="E208" s="519" t="s">
        <v>53</v>
      </c>
      <c r="F208" s="536" t="s">
        <v>340</v>
      </c>
      <c r="G208" s="541" t="s">
        <v>288</v>
      </c>
      <c r="H208" s="520" t="s">
        <v>56</v>
      </c>
      <c r="I208" s="541" t="s">
        <v>337</v>
      </c>
      <c r="J208" s="520" t="s">
        <v>58</v>
      </c>
      <c r="K208" s="540" t="s">
        <v>338</v>
      </c>
      <c r="L208" s="521">
        <v>5.15</v>
      </c>
      <c r="M208" s="520" t="s">
        <v>60</v>
      </c>
    </row>
    <row r="209" spans="1:13">
      <c r="A209" s="525" t="s">
        <v>285</v>
      </c>
      <c r="B209" s="520" t="s">
        <v>335</v>
      </c>
      <c r="C209" s="522">
        <v>2411</v>
      </c>
      <c r="D209" s="542">
        <v>12240070</v>
      </c>
      <c r="E209" s="519" t="s">
        <v>53</v>
      </c>
      <c r="F209" s="536" t="s">
        <v>341</v>
      </c>
      <c r="G209" s="541" t="s">
        <v>288</v>
      </c>
      <c r="H209" s="520" t="s">
        <v>56</v>
      </c>
      <c r="I209" s="541" t="s">
        <v>337</v>
      </c>
      <c r="J209" s="520" t="s">
        <v>58</v>
      </c>
      <c r="K209" s="540" t="s">
        <v>338</v>
      </c>
      <c r="L209" s="521">
        <v>5.15</v>
      </c>
      <c r="M209" s="520" t="s">
        <v>60</v>
      </c>
    </row>
    <row r="210" spans="1:13">
      <c r="A210" s="525" t="s">
        <v>285</v>
      </c>
      <c r="B210" s="520" t="s">
        <v>335</v>
      </c>
      <c r="C210" s="539">
        <v>2501</v>
      </c>
      <c r="D210" s="519" t="s">
        <v>342</v>
      </c>
      <c r="E210" s="519" t="s">
        <v>53</v>
      </c>
      <c r="F210" s="536" t="s">
        <v>343</v>
      </c>
      <c r="G210" s="523" t="s">
        <v>288</v>
      </c>
      <c r="H210" s="522" t="s">
        <v>56</v>
      </c>
      <c r="I210" s="533" t="s">
        <v>146</v>
      </c>
      <c r="J210" s="522" t="s">
        <v>58</v>
      </c>
      <c r="K210" s="515" t="s">
        <v>344</v>
      </c>
      <c r="L210" s="521">
        <v>6.75</v>
      </c>
      <c r="M210" s="520" t="s">
        <v>60</v>
      </c>
    </row>
    <row r="211" spans="1:13">
      <c r="A211" s="525" t="s">
        <v>285</v>
      </c>
      <c r="B211" s="520" t="s">
        <v>335</v>
      </c>
      <c r="C211" s="539">
        <v>2502</v>
      </c>
      <c r="D211" s="519" t="s">
        <v>342</v>
      </c>
      <c r="E211" s="519" t="s">
        <v>53</v>
      </c>
      <c r="F211" s="536" t="s">
        <v>345</v>
      </c>
      <c r="G211" s="523" t="s">
        <v>288</v>
      </c>
      <c r="H211" s="522" t="s">
        <v>56</v>
      </c>
      <c r="I211" s="533" t="s">
        <v>146</v>
      </c>
      <c r="J211" s="522" t="s">
        <v>58</v>
      </c>
      <c r="K211" s="515" t="s">
        <v>344</v>
      </c>
      <c r="L211" s="521">
        <v>6.75</v>
      </c>
      <c r="M211" s="520" t="s">
        <v>60</v>
      </c>
    </row>
    <row r="212" spans="1:13">
      <c r="A212" s="525" t="s">
        <v>285</v>
      </c>
      <c r="B212" s="520" t="s">
        <v>335</v>
      </c>
      <c r="C212" s="539">
        <v>2503</v>
      </c>
      <c r="D212" s="519" t="s">
        <v>342</v>
      </c>
      <c r="E212" s="519" t="s">
        <v>53</v>
      </c>
      <c r="F212" s="536" t="s">
        <v>346</v>
      </c>
      <c r="G212" s="523" t="s">
        <v>288</v>
      </c>
      <c r="H212" s="522" t="s">
        <v>56</v>
      </c>
      <c r="I212" s="533" t="s">
        <v>146</v>
      </c>
      <c r="J212" s="522" t="s">
        <v>58</v>
      </c>
      <c r="K212" s="515" t="s">
        <v>344</v>
      </c>
      <c r="L212" s="521">
        <v>6.75</v>
      </c>
      <c r="M212" s="520" t="s">
        <v>60</v>
      </c>
    </row>
    <row r="213" spans="1:13">
      <c r="A213" s="525" t="s">
        <v>285</v>
      </c>
      <c r="B213" s="520" t="s">
        <v>335</v>
      </c>
      <c r="C213" s="539">
        <v>2504</v>
      </c>
      <c r="D213" s="519" t="s">
        <v>342</v>
      </c>
      <c r="E213" s="519" t="s">
        <v>53</v>
      </c>
      <c r="F213" s="536" t="s">
        <v>347</v>
      </c>
      <c r="G213" s="523" t="s">
        <v>288</v>
      </c>
      <c r="H213" s="522" t="s">
        <v>56</v>
      </c>
      <c r="I213" s="533" t="s">
        <v>146</v>
      </c>
      <c r="J213" s="522" t="s">
        <v>58</v>
      </c>
      <c r="K213" s="515" t="s">
        <v>344</v>
      </c>
      <c r="L213" s="521">
        <v>6.75</v>
      </c>
      <c r="M213" s="520" t="s">
        <v>60</v>
      </c>
    </row>
    <row r="214" spans="1:13">
      <c r="A214" s="525" t="s">
        <v>285</v>
      </c>
      <c r="B214" s="520" t="s">
        <v>335</v>
      </c>
      <c r="C214" s="539">
        <v>2505</v>
      </c>
      <c r="D214" s="519" t="s">
        <v>342</v>
      </c>
      <c r="E214" s="519" t="s">
        <v>53</v>
      </c>
      <c r="F214" s="536" t="s">
        <v>348</v>
      </c>
      <c r="G214" s="523" t="s">
        <v>288</v>
      </c>
      <c r="H214" s="522" t="s">
        <v>56</v>
      </c>
      <c r="I214" s="533" t="s">
        <v>146</v>
      </c>
      <c r="J214" s="522" t="s">
        <v>58</v>
      </c>
      <c r="K214" s="515" t="s">
        <v>344</v>
      </c>
      <c r="L214" s="521">
        <v>6.75</v>
      </c>
      <c r="M214" s="520" t="s">
        <v>60</v>
      </c>
    </row>
    <row r="215" spans="1:13">
      <c r="A215" s="525" t="s">
        <v>285</v>
      </c>
      <c r="B215" s="520" t="s">
        <v>335</v>
      </c>
      <c r="C215" s="539">
        <v>2506</v>
      </c>
      <c r="D215" s="519" t="s">
        <v>342</v>
      </c>
      <c r="E215" s="519" t="s">
        <v>53</v>
      </c>
      <c r="F215" s="518" t="s">
        <v>349</v>
      </c>
      <c r="G215" s="523" t="s">
        <v>288</v>
      </c>
      <c r="H215" s="522" t="s">
        <v>56</v>
      </c>
      <c r="I215" s="533" t="s">
        <v>146</v>
      </c>
      <c r="J215" s="522" t="s">
        <v>58</v>
      </c>
      <c r="K215" s="515" t="s">
        <v>344</v>
      </c>
      <c r="L215" s="521">
        <v>6.75</v>
      </c>
      <c r="M215" s="520" t="s">
        <v>60</v>
      </c>
    </row>
    <row r="216" spans="1:13">
      <c r="A216" s="525" t="s">
        <v>285</v>
      </c>
      <c r="B216" s="520" t="s">
        <v>335</v>
      </c>
      <c r="C216" s="528">
        <v>2507</v>
      </c>
      <c r="D216" s="519" t="s">
        <v>342</v>
      </c>
      <c r="E216" s="519" t="s">
        <v>53</v>
      </c>
      <c r="F216" s="536" t="s">
        <v>350</v>
      </c>
      <c r="G216" s="523" t="s">
        <v>288</v>
      </c>
      <c r="H216" s="522" t="s">
        <v>56</v>
      </c>
      <c r="I216" s="533" t="s">
        <v>146</v>
      </c>
      <c r="J216" s="522" t="s">
        <v>58</v>
      </c>
      <c r="K216" s="515" t="s">
        <v>344</v>
      </c>
      <c r="L216" s="521">
        <v>6.75</v>
      </c>
      <c r="M216" s="520" t="s">
        <v>60</v>
      </c>
    </row>
    <row r="217" spans="1:13">
      <c r="A217" s="525" t="s">
        <v>285</v>
      </c>
      <c r="B217" s="520" t="s">
        <v>335</v>
      </c>
      <c r="C217" s="528">
        <v>2508</v>
      </c>
      <c r="D217" s="519" t="s">
        <v>342</v>
      </c>
      <c r="E217" s="519" t="s">
        <v>53</v>
      </c>
      <c r="F217" s="536" t="s">
        <v>351</v>
      </c>
      <c r="G217" s="523" t="s">
        <v>288</v>
      </c>
      <c r="H217" s="522" t="s">
        <v>56</v>
      </c>
      <c r="I217" s="533" t="s">
        <v>146</v>
      </c>
      <c r="J217" s="522" t="s">
        <v>58</v>
      </c>
      <c r="K217" s="515" t="s">
        <v>344</v>
      </c>
      <c r="L217" s="521">
        <v>6.75</v>
      </c>
      <c r="M217" s="520" t="s">
        <v>60</v>
      </c>
    </row>
    <row r="218" spans="1:13">
      <c r="A218" s="525" t="s">
        <v>285</v>
      </c>
      <c r="B218" s="520" t="s">
        <v>335</v>
      </c>
      <c r="C218" s="539">
        <v>2512</v>
      </c>
      <c r="D218" s="519" t="s">
        <v>342</v>
      </c>
      <c r="E218" s="519" t="s">
        <v>53</v>
      </c>
      <c r="F218" s="536" t="s">
        <v>352</v>
      </c>
      <c r="G218" s="523" t="s">
        <v>288</v>
      </c>
      <c r="H218" s="522" t="s">
        <v>56</v>
      </c>
      <c r="I218" s="533" t="s">
        <v>146</v>
      </c>
      <c r="J218" s="522" t="s">
        <v>58</v>
      </c>
      <c r="K218" s="515" t="s">
        <v>344</v>
      </c>
      <c r="L218" s="521">
        <v>6.75</v>
      </c>
      <c r="M218" s="520" t="s">
        <v>60</v>
      </c>
    </row>
    <row r="219" spans="1:13">
      <c r="A219" s="525" t="s">
        <v>285</v>
      </c>
      <c r="B219" s="520" t="s">
        <v>335</v>
      </c>
      <c r="C219" s="528">
        <v>2801</v>
      </c>
      <c r="D219" s="519" t="s">
        <v>342</v>
      </c>
      <c r="E219" s="519" t="s">
        <v>53</v>
      </c>
      <c r="F219" s="536" t="s">
        <v>353</v>
      </c>
      <c r="G219" s="523" t="s">
        <v>288</v>
      </c>
      <c r="H219" s="522" t="s">
        <v>56</v>
      </c>
      <c r="I219" s="533" t="s">
        <v>146</v>
      </c>
      <c r="J219" s="522" t="s">
        <v>58</v>
      </c>
      <c r="K219" s="515" t="s">
        <v>344</v>
      </c>
      <c r="L219" s="521">
        <v>6.75</v>
      </c>
      <c r="M219" s="520" t="s">
        <v>60</v>
      </c>
    </row>
    <row r="220" spans="1:13">
      <c r="A220" s="525" t="s">
        <v>285</v>
      </c>
      <c r="B220" s="520" t="s">
        <v>335</v>
      </c>
      <c r="C220" s="528">
        <v>2802</v>
      </c>
      <c r="D220" s="519" t="s">
        <v>342</v>
      </c>
      <c r="E220" s="519" t="s">
        <v>53</v>
      </c>
      <c r="F220" s="536" t="s">
        <v>354</v>
      </c>
      <c r="G220" s="523" t="s">
        <v>288</v>
      </c>
      <c r="H220" s="522" t="s">
        <v>56</v>
      </c>
      <c r="I220" s="533" t="s">
        <v>146</v>
      </c>
      <c r="J220" s="522" t="s">
        <v>58</v>
      </c>
      <c r="K220" s="515" t="s">
        <v>344</v>
      </c>
      <c r="L220" s="521">
        <v>6.75</v>
      </c>
      <c r="M220" s="520" t="s">
        <v>60</v>
      </c>
    </row>
    <row r="221" spans="1:13">
      <c r="A221" s="525" t="s">
        <v>285</v>
      </c>
      <c r="B221" s="520" t="s">
        <v>335</v>
      </c>
      <c r="C221" s="528">
        <v>2803</v>
      </c>
      <c r="D221" s="519" t="s">
        <v>342</v>
      </c>
      <c r="E221" s="519" t="s">
        <v>53</v>
      </c>
      <c r="F221" s="536" t="s">
        <v>355</v>
      </c>
      <c r="G221" s="523" t="s">
        <v>288</v>
      </c>
      <c r="H221" s="522" t="s">
        <v>56</v>
      </c>
      <c r="I221" s="533" t="s">
        <v>146</v>
      </c>
      <c r="J221" s="522" t="s">
        <v>58</v>
      </c>
      <c r="K221" s="515" t="s">
        <v>344</v>
      </c>
      <c r="L221" s="521">
        <v>6.75</v>
      </c>
      <c r="M221" s="520" t="s">
        <v>60</v>
      </c>
    </row>
    <row r="222" spans="1:13">
      <c r="A222" s="525" t="s">
        <v>285</v>
      </c>
      <c r="B222" s="520" t="s">
        <v>335</v>
      </c>
      <c r="C222" s="528">
        <v>2807</v>
      </c>
      <c r="D222" s="519" t="s">
        <v>342</v>
      </c>
      <c r="E222" s="519" t="s">
        <v>53</v>
      </c>
      <c r="F222" s="536" t="s">
        <v>356</v>
      </c>
      <c r="G222" s="523" t="s">
        <v>288</v>
      </c>
      <c r="H222" s="522" t="s">
        <v>56</v>
      </c>
      <c r="I222" s="533" t="s">
        <v>146</v>
      </c>
      <c r="J222" s="522" t="s">
        <v>58</v>
      </c>
      <c r="K222" s="515" t="s">
        <v>344</v>
      </c>
      <c r="L222" s="521">
        <v>6.75</v>
      </c>
      <c r="M222" s="520" t="s">
        <v>60</v>
      </c>
    </row>
    <row r="223" spans="1:13">
      <c r="A223" s="525" t="s">
        <v>285</v>
      </c>
      <c r="B223" s="520" t="s">
        <v>335</v>
      </c>
      <c r="C223" s="528">
        <v>2808</v>
      </c>
      <c r="D223" s="519" t="s">
        <v>342</v>
      </c>
      <c r="E223" s="519" t="s">
        <v>53</v>
      </c>
      <c r="F223" s="536" t="s">
        <v>357</v>
      </c>
      <c r="G223" s="523" t="s">
        <v>288</v>
      </c>
      <c r="H223" s="522" t="s">
        <v>56</v>
      </c>
      <c r="I223" s="533" t="s">
        <v>146</v>
      </c>
      <c r="J223" s="522" t="s">
        <v>58</v>
      </c>
      <c r="K223" s="515" t="s">
        <v>344</v>
      </c>
      <c r="L223" s="521">
        <v>6.75</v>
      </c>
      <c r="M223" s="520" t="s">
        <v>60</v>
      </c>
    </row>
    <row r="224" spans="1:13">
      <c r="A224" s="525" t="s">
        <v>285</v>
      </c>
      <c r="B224" s="520" t="s">
        <v>335</v>
      </c>
      <c r="C224" s="528">
        <v>2809</v>
      </c>
      <c r="D224" s="519" t="s">
        <v>342</v>
      </c>
      <c r="E224" s="519" t="s">
        <v>53</v>
      </c>
      <c r="F224" s="536" t="s">
        <v>358</v>
      </c>
      <c r="G224" s="523" t="s">
        <v>288</v>
      </c>
      <c r="H224" s="522" t="s">
        <v>56</v>
      </c>
      <c r="I224" s="533" t="s">
        <v>146</v>
      </c>
      <c r="J224" s="522" t="s">
        <v>58</v>
      </c>
      <c r="K224" s="515" t="s">
        <v>344</v>
      </c>
      <c r="L224" s="521">
        <v>6.75</v>
      </c>
      <c r="M224" s="520" t="s">
        <v>60</v>
      </c>
    </row>
    <row r="225" spans="1:13">
      <c r="A225" s="525" t="s">
        <v>285</v>
      </c>
      <c r="B225" s="520" t="s">
        <v>335</v>
      </c>
      <c r="C225" s="528">
        <v>2810</v>
      </c>
      <c r="D225" s="519" t="s">
        <v>342</v>
      </c>
      <c r="E225" s="519" t="s">
        <v>53</v>
      </c>
      <c r="F225" s="536" t="s">
        <v>359</v>
      </c>
      <c r="G225" s="523" t="s">
        <v>288</v>
      </c>
      <c r="H225" s="522" t="s">
        <v>56</v>
      </c>
      <c r="I225" s="533" t="s">
        <v>146</v>
      </c>
      <c r="J225" s="522" t="s">
        <v>58</v>
      </c>
      <c r="K225" s="515" t="s">
        <v>344</v>
      </c>
      <c r="L225" s="521">
        <v>6.75</v>
      </c>
      <c r="M225" s="520" t="s">
        <v>60</v>
      </c>
    </row>
    <row r="226" spans="1:13">
      <c r="A226" s="525" t="s">
        <v>285</v>
      </c>
      <c r="B226" s="520" t="s">
        <v>335</v>
      </c>
      <c r="C226" s="528">
        <v>2813</v>
      </c>
      <c r="D226" s="519" t="s">
        <v>342</v>
      </c>
      <c r="E226" s="519" t="s">
        <v>53</v>
      </c>
      <c r="F226" s="536" t="s">
        <v>360</v>
      </c>
      <c r="G226" s="523" t="s">
        <v>288</v>
      </c>
      <c r="H226" s="522" t="s">
        <v>56</v>
      </c>
      <c r="I226" s="533" t="s">
        <v>146</v>
      </c>
      <c r="J226" s="522" t="s">
        <v>58</v>
      </c>
      <c r="K226" s="515" t="s">
        <v>344</v>
      </c>
      <c r="L226" s="521">
        <v>6.75</v>
      </c>
      <c r="M226" s="520" t="s">
        <v>60</v>
      </c>
    </row>
    <row r="227" spans="1:13">
      <c r="A227" s="525" t="s">
        <v>285</v>
      </c>
      <c r="B227" s="520" t="s">
        <v>335</v>
      </c>
      <c r="C227" s="528">
        <v>2815</v>
      </c>
      <c r="D227" s="519" t="s">
        <v>342</v>
      </c>
      <c r="E227" s="519" t="s">
        <v>53</v>
      </c>
      <c r="F227" s="536" t="s">
        <v>361</v>
      </c>
      <c r="G227" s="523" t="s">
        <v>288</v>
      </c>
      <c r="H227" s="522" t="s">
        <v>56</v>
      </c>
      <c r="I227" s="533" t="s">
        <v>146</v>
      </c>
      <c r="J227" s="522" t="s">
        <v>58</v>
      </c>
      <c r="K227" s="515" t="s">
        <v>344</v>
      </c>
      <c r="L227" s="521">
        <v>6.75</v>
      </c>
      <c r="M227" s="520" t="s">
        <v>60</v>
      </c>
    </row>
    <row r="228" spans="1:13">
      <c r="A228" s="525" t="s">
        <v>285</v>
      </c>
      <c r="B228" s="520" t="s">
        <v>335</v>
      </c>
      <c r="C228" s="528">
        <v>2817</v>
      </c>
      <c r="D228" s="519" t="s">
        <v>342</v>
      </c>
      <c r="E228" s="519" t="s">
        <v>53</v>
      </c>
      <c r="F228" s="536" t="s">
        <v>362</v>
      </c>
      <c r="G228" s="523" t="s">
        <v>288</v>
      </c>
      <c r="H228" s="522" t="s">
        <v>56</v>
      </c>
      <c r="I228" s="533" t="s">
        <v>146</v>
      </c>
      <c r="J228" s="522" t="s">
        <v>58</v>
      </c>
      <c r="K228" s="515" t="s">
        <v>344</v>
      </c>
      <c r="L228" s="521">
        <v>6.75</v>
      </c>
      <c r="M228" s="520" t="s">
        <v>60</v>
      </c>
    </row>
    <row r="229" spans="1:13">
      <c r="A229" s="525" t="s">
        <v>285</v>
      </c>
      <c r="B229" s="520" t="s">
        <v>335</v>
      </c>
      <c r="C229" s="528">
        <v>2818</v>
      </c>
      <c r="D229" s="519" t="s">
        <v>342</v>
      </c>
      <c r="E229" s="519" t="s">
        <v>53</v>
      </c>
      <c r="F229" s="536" t="s">
        <v>363</v>
      </c>
      <c r="G229" s="523" t="s">
        <v>288</v>
      </c>
      <c r="H229" s="522" t="s">
        <v>56</v>
      </c>
      <c r="I229" s="533" t="s">
        <v>146</v>
      </c>
      <c r="J229" s="522" t="s">
        <v>58</v>
      </c>
      <c r="K229" s="515" t="s">
        <v>344</v>
      </c>
      <c r="L229" s="521">
        <v>6.75</v>
      </c>
      <c r="M229" s="520" t="s">
        <v>60</v>
      </c>
    </row>
    <row r="230" spans="1:13">
      <c r="A230" s="525" t="s">
        <v>285</v>
      </c>
      <c r="B230" s="520" t="s">
        <v>335</v>
      </c>
      <c r="C230" s="528">
        <v>2819</v>
      </c>
      <c r="D230" s="519" t="s">
        <v>342</v>
      </c>
      <c r="E230" s="519" t="s">
        <v>53</v>
      </c>
      <c r="F230" s="536" t="s">
        <v>364</v>
      </c>
      <c r="G230" s="523" t="s">
        <v>288</v>
      </c>
      <c r="H230" s="522" t="s">
        <v>56</v>
      </c>
      <c r="I230" s="533" t="s">
        <v>146</v>
      </c>
      <c r="J230" s="522" t="s">
        <v>58</v>
      </c>
      <c r="K230" s="515" t="s">
        <v>344</v>
      </c>
      <c r="L230" s="521">
        <v>6.75</v>
      </c>
      <c r="M230" s="520" t="s">
        <v>60</v>
      </c>
    </row>
    <row r="231" spans="1:13">
      <c r="A231" s="525" t="s">
        <v>285</v>
      </c>
      <c r="B231" s="520" t="s">
        <v>335</v>
      </c>
      <c r="C231" s="528">
        <v>2821</v>
      </c>
      <c r="D231" s="519" t="s">
        <v>342</v>
      </c>
      <c r="E231" s="519" t="s">
        <v>53</v>
      </c>
      <c r="F231" s="536" t="s">
        <v>365</v>
      </c>
      <c r="G231" s="523" t="s">
        <v>288</v>
      </c>
      <c r="H231" s="522" t="s">
        <v>56</v>
      </c>
      <c r="I231" s="533" t="s">
        <v>146</v>
      </c>
      <c r="J231" s="522" t="s">
        <v>58</v>
      </c>
      <c r="K231" s="515" t="s">
        <v>344</v>
      </c>
      <c r="L231" s="521">
        <v>6.75</v>
      </c>
      <c r="M231" s="520" t="s">
        <v>60</v>
      </c>
    </row>
    <row r="232" spans="1:13">
      <c r="A232" s="525" t="s">
        <v>285</v>
      </c>
      <c r="B232" s="520" t="s">
        <v>335</v>
      </c>
      <c r="C232" s="528">
        <v>2822</v>
      </c>
      <c r="D232" s="519" t="s">
        <v>342</v>
      </c>
      <c r="E232" s="519" t="s">
        <v>53</v>
      </c>
      <c r="F232" s="536" t="s">
        <v>366</v>
      </c>
      <c r="G232" s="523" t="s">
        <v>288</v>
      </c>
      <c r="H232" s="522" t="s">
        <v>56</v>
      </c>
      <c r="I232" s="533" t="s">
        <v>146</v>
      </c>
      <c r="J232" s="522" t="s">
        <v>58</v>
      </c>
      <c r="K232" s="515" t="s">
        <v>344</v>
      </c>
      <c r="L232" s="521">
        <v>6.75</v>
      </c>
      <c r="M232" s="520" t="s">
        <v>60</v>
      </c>
    </row>
    <row r="233" spans="1:13">
      <c r="A233" s="525" t="s">
        <v>285</v>
      </c>
      <c r="B233" s="520" t="s">
        <v>335</v>
      </c>
      <c r="C233" s="528">
        <v>2823</v>
      </c>
      <c r="D233" s="519" t="s">
        <v>342</v>
      </c>
      <c r="E233" s="519" t="s">
        <v>53</v>
      </c>
      <c r="F233" s="536" t="s">
        <v>367</v>
      </c>
      <c r="G233" s="523" t="s">
        <v>288</v>
      </c>
      <c r="H233" s="522" t="s">
        <v>56</v>
      </c>
      <c r="I233" s="533" t="s">
        <v>146</v>
      </c>
      <c r="J233" s="522" t="s">
        <v>58</v>
      </c>
      <c r="K233" s="515" t="s">
        <v>344</v>
      </c>
      <c r="L233" s="521">
        <v>6.75</v>
      </c>
      <c r="M233" s="520" t="s">
        <v>60</v>
      </c>
    </row>
    <row r="234" spans="1:13">
      <c r="A234" s="525" t="s">
        <v>285</v>
      </c>
      <c r="B234" s="520" t="s">
        <v>335</v>
      </c>
      <c r="C234" s="528">
        <v>2824</v>
      </c>
      <c r="D234" s="519" t="s">
        <v>342</v>
      </c>
      <c r="E234" s="519" t="s">
        <v>53</v>
      </c>
      <c r="F234" s="536" t="s">
        <v>368</v>
      </c>
      <c r="G234" s="523" t="s">
        <v>288</v>
      </c>
      <c r="H234" s="522" t="s">
        <v>56</v>
      </c>
      <c r="I234" s="533" t="s">
        <v>146</v>
      </c>
      <c r="J234" s="522" t="s">
        <v>58</v>
      </c>
      <c r="K234" s="515" t="s">
        <v>344</v>
      </c>
      <c r="L234" s="521">
        <v>6.75</v>
      </c>
      <c r="M234" s="520" t="s">
        <v>60</v>
      </c>
    </row>
    <row r="235" spans="1:13">
      <c r="A235" s="525" t="s">
        <v>285</v>
      </c>
      <c r="B235" s="520" t="s">
        <v>335</v>
      </c>
      <c r="C235" s="528">
        <v>2830</v>
      </c>
      <c r="D235" s="519" t="s">
        <v>342</v>
      </c>
      <c r="E235" s="519" t="s">
        <v>53</v>
      </c>
      <c r="F235" s="536" t="s">
        <v>369</v>
      </c>
      <c r="G235" s="523" t="s">
        <v>288</v>
      </c>
      <c r="H235" s="522" t="s">
        <v>56</v>
      </c>
      <c r="I235" s="533" t="s">
        <v>146</v>
      </c>
      <c r="J235" s="522" t="s">
        <v>58</v>
      </c>
      <c r="K235" s="515" t="s">
        <v>344</v>
      </c>
      <c r="L235" s="521">
        <v>6.75</v>
      </c>
      <c r="M235" s="520" t="s">
        <v>60</v>
      </c>
    </row>
    <row r="236" spans="1:13">
      <c r="A236" s="525" t="s">
        <v>285</v>
      </c>
      <c r="B236" s="520" t="s">
        <v>335</v>
      </c>
      <c r="C236" s="528">
        <v>2850</v>
      </c>
      <c r="D236" s="519" t="s">
        <v>342</v>
      </c>
      <c r="E236" s="519" t="s">
        <v>53</v>
      </c>
      <c r="F236" s="536" t="s">
        <v>345</v>
      </c>
      <c r="G236" s="523" t="s">
        <v>288</v>
      </c>
      <c r="H236" s="522" t="s">
        <v>56</v>
      </c>
      <c r="I236" s="533" t="s">
        <v>146</v>
      </c>
      <c r="J236" s="522" t="s">
        <v>58</v>
      </c>
      <c r="K236" s="515" t="s">
        <v>344</v>
      </c>
      <c r="L236" s="521">
        <v>6.75</v>
      </c>
      <c r="M236" s="520" t="s">
        <v>60</v>
      </c>
    </row>
    <row r="237" spans="1:13">
      <c r="A237" s="525" t="s">
        <v>285</v>
      </c>
      <c r="B237" s="520" t="s">
        <v>335</v>
      </c>
      <c r="C237" s="528">
        <v>2852</v>
      </c>
      <c r="D237" s="519" t="s">
        <v>342</v>
      </c>
      <c r="E237" s="519" t="s">
        <v>53</v>
      </c>
      <c r="F237" s="536" t="s">
        <v>370</v>
      </c>
      <c r="G237" s="523" t="s">
        <v>288</v>
      </c>
      <c r="H237" s="522" t="s">
        <v>56</v>
      </c>
      <c r="I237" s="533" t="s">
        <v>146</v>
      </c>
      <c r="J237" s="522" t="s">
        <v>58</v>
      </c>
      <c r="K237" s="515" t="s">
        <v>344</v>
      </c>
      <c r="L237" s="521">
        <v>6.75</v>
      </c>
      <c r="M237" s="520" t="s">
        <v>60</v>
      </c>
    </row>
    <row r="238" spans="1:13">
      <c r="A238" s="525" t="s">
        <v>285</v>
      </c>
      <c r="B238" s="520" t="s">
        <v>335</v>
      </c>
      <c r="C238" s="528">
        <v>2853</v>
      </c>
      <c r="D238" s="519" t="s">
        <v>342</v>
      </c>
      <c r="E238" s="519" t="s">
        <v>53</v>
      </c>
      <c r="F238" s="536" t="s">
        <v>371</v>
      </c>
      <c r="G238" s="523" t="s">
        <v>288</v>
      </c>
      <c r="H238" s="522" t="s">
        <v>56</v>
      </c>
      <c r="I238" s="533" t="s">
        <v>146</v>
      </c>
      <c r="J238" s="522" t="s">
        <v>58</v>
      </c>
      <c r="K238" s="515" t="s">
        <v>344</v>
      </c>
      <c r="L238" s="521">
        <v>6.75</v>
      </c>
      <c r="M238" s="520" t="s">
        <v>60</v>
      </c>
    </row>
    <row r="239" spans="1:13">
      <c r="A239" s="525" t="s">
        <v>285</v>
      </c>
      <c r="B239" s="520" t="s">
        <v>335</v>
      </c>
      <c r="C239" s="528">
        <v>2854</v>
      </c>
      <c r="D239" s="519" t="s">
        <v>342</v>
      </c>
      <c r="E239" s="519" t="s">
        <v>53</v>
      </c>
      <c r="F239" s="534" t="s">
        <v>372</v>
      </c>
      <c r="G239" s="523" t="s">
        <v>288</v>
      </c>
      <c r="H239" s="522" t="s">
        <v>56</v>
      </c>
      <c r="I239" s="533" t="s">
        <v>146</v>
      </c>
      <c r="J239" s="522" t="s">
        <v>58</v>
      </c>
      <c r="K239" s="515" t="s">
        <v>344</v>
      </c>
      <c r="L239" s="521">
        <v>6.75</v>
      </c>
      <c r="M239" s="520" t="s">
        <v>60</v>
      </c>
    </row>
    <row r="240" spans="1:13">
      <c r="A240" s="525" t="s">
        <v>285</v>
      </c>
      <c r="B240" s="520" t="s">
        <v>335</v>
      </c>
      <c r="C240" s="528">
        <v>2855</v>
      </c>
      <c r="D240" s="519" t="s">
        <v>342</v>
      </c>
      <c r="E240" s="519" t="s">
        <v>53</v>
      </c>
      <c r="F240" s="536" t="s">
        <v>373</v>
      </c>
      <c r="G240" s="523" t="s">
        <v>288</v>
      </c>
      <c r="H240" s="522" t="s">
        <v>56</v>
      </c>
      <c r="I240" s="533" t="s">
        <v>146</v>
      </c>
      <c r="J240" s="522" t="s">
        <v>58</v>
      </c>
      <c r="K240" s="515" t="s">
        <v>344</v>
      </c>
      <c r="L240" s="521">
        <v>6.75</v>
      </c>
      <c r="M240" s="520" t="s">
        <v>60</v>
      </c>
    </row>
    <row r="241" spans="1:13">
      <c r="A241" s="525" t="s">
        <v>285</v>
      </c>
      <c r="B241" s="520" t="s">
        <v>335</v>
      </c>
      <c r="C241" s="528">
        <v>2856</v>
      </c>
      <c r="D241" s="519" t="s">
        <v>342</v>
      </c>
      <c r="E241" s="519" t="s">
        <v>53</v>
      </c>
      <c r="F241" s="536" t="s">
        <v>374</v>
      </c>
      <c r="G241" s="523" t="s">
        <v>288</v>
      </c>
      <c r="H241" s="522" t="s">
        <v>56</v>
      </c>
      <c r="I241" s="533" t="s">
        <v>146</v>
      </c>
      <c r="J241" s="522" t="s">
        <v>58</v>
      </c>
      <c r="K241" s="515" t="s">
        <v>344</v>
      </c>
      <c r="L241" s="521">
        <v>6.75</v>
      </c>
      <c r="M241" s="520" t="s">
        <v>60</v>
      </c>
    </row>
    <row r="242" spans="1:13">
      <c r="A242" s="525" t="s">
        <v>285</v>
      </c>
      <c r="B242" s="520" t="s">
        <v>335</v>
      </c>
      <c r="C242" s="528">
        <v>2857</v>
      </c>
      <c r="D242" s="519" t="s">
        <v>342</v>
      </c>
      <c r="E242" s="519" t="s">
        <v>53</v>
      </c>
      <c r="F242" s="536" t="s">
        <v>375</v>
      </c>
      <c r="G242" s="523" t="s">
        <v>288</v>
      </c>
      <c r="H242" s="522" t="s">
        <v>56</v>
      </c>
      <c r="I242" s="533" t="s">
        <v>146</v>
      </c>
      <c r="J242" s="522" t="s">
        <v>58</v>
      </c>
      <c r="K242" s="515" t="s">
        <v>344</v>
      </c>
      <c r="L242" s="521">
        <v>6.75</v>
      </c>
      <c r="M242" s="520" t="s">
        <v>60</v>
      </c>
    </row>
    <row r="243" spans="1:13">
      <c r="A243" s="525" t="s">
        <v>285</v>
      </c>
      <c r="B243" s="520" t="s">
        <v>335</v>
      </c>
      <c r="C243" s="528">
        <v>2858</v>
      </c>
      <c r="D243" s="519" t="s">
        <v>342</v>
      </c>
      <c r="E243" s="519" t="s">
        <v>53</v>
      </c>
      <c r="F243" s="536" t="s">
        <v>376</v>
      </c>
      <c r="G243" s="523" t="s">
        <v>288</v>
      </c>
      <c r="H243" s="522" t="s">
        <v>56</v>
      </c>
      <c r="I243" s="533" t="s">
        <v>146</v>
      </c>
      <c r="J243" s="522" t="s">
        <v>58</v>
      </c>
      <c r="K243" s="515" t="s">
        <v>344</v>
      </c>
      <c r="L243" s="521">
        <v>6.75</v>
      </c>
      <c r="M243" s="520" t="s">
        <v>60</v>
      </c>
    </row>
    <row r="244" spans="1:13">
      <c r="A244" s="525" t="s">
        <v>285</v>
      </c>
      <c r="B244" s="520" t="s">
        <v>335</v>
      </c>
      <c r="C244" s="528">
        <v>2804</v>
      </c>
      <c r="D244" s="519" t="s">
        <v>342</v>
      </c>
      <c r="E244" s="519" t="s">
        <v>53</v>
      </c>
      <c r="F244" s="536" t="s">
        <v>349</v>
      </c>
      <c r="G244" s="523" t="s">
        <v>288</v>
      </c>
      <c r="H244" s="522" t="s">
        <v>56</v>
      </c>
      <c r="I244" s="533" t="s">
        <v>146</v>
      </c>
      <c r="J244" s="522" t="s">
        <v>58</v>
      </c>
      <c r="K244" s="515" t="s">
        <v>344</v>
      </c>
      <c r="L244" s="521">
        <v>6.75</v>
      </c>
      <c r="M244" s="520" t="s">
        <v>60</v>
      </c>
    </row>
    <row r="245" spans="1:13">
      <c r="A245" s="525" t="s">
        <v>285</v>
      </c>
      <c r="B245" s="520" t="s">
        <v>335</v>
      </c>
      <c r="C245" s="528">
        <v>2805</v>
      </c>
      <c r="D245" s="519" t="s">
        <v>342</v>
      </c>
      <c r="E245" s="519" t="s">
        <v>53</v>
      </c>
      <c r="F245" s="536" t="s">
        <v>349</v>
      </c>
      <c r="G245" s="523" t="s">
        <v>288</v>
      </c>
      <c r="H245" s="522" t="s">
        <v>56</v>
      </c>
      <c r="I245" s="533" t="s">
        <v>146</v>
      </c>
      <c r="J245" s="522" t="s">
        <v>58</v>
      </c>
      <c r="K245" s="515" t="s">
        <v>344</v>
      </c>
      <c r="L245" s="521">
        <v>6.75</v>
      </c>
      <c r="M245" s="520" t="s">
        <v>60</v>
      </c>
    </row>
    <row r="246" spans="1:13">
      <c r="A246" s="525" t="s">
        <v>285</v>
      </c>
      <c r="B246" s="520" t="s">
        <v>335</v>
      </c>
      <c r="C246" s="528">
        <v>2814</v>
      </c>
      <c r="D246" s="519" t="s">
        <v>342</v>
      </c>
      <c r="E246" s="519" t="s">
        <v>53</v>
      </c>
      <c r="F246" s="536" t="s">
        <v>349</v>
      </c>
      <c r="G246" s="523" t="s">
        <v>288</v>
      </c>
      <c r="H246" s="522" t="s">
        <v>56</v>
      </c>
      <c r="I246" s="533" t="s">
        <v>146</v>
      </c>
      <c r="J246" s="522" t="s">
        <v>58</v>
      </c>
      <c r="K246" s="515" t="s">
        <v>344</v>
      </c>
      <c r="L246" s="521">
        <v>6.75</v>
      </c>
      <c r="M246" s="520" t="s">
        <v>60</v>
      </c>
    </row>
    <row r="247" spans="1:13">
      <c r="A247" s="525" t="s">
        <v>285</v>
      </c>
      <c r="B247" s="520" t="s">
        <v>335</v>
      </c>
      <c r="C247" s="528">
        <v>2820</v>
      </c>
      <c r="D247" s="519" t="s">
        <v>342</v>
      </c>
      <c r="E247" s="519" t="s">
        <v>53</v>
      </c>
      <c r="F247" s="536" t="s">
        <v>349</v>
      </c>
      <c r="G247" s="523" t="s">
        <v>288</v>
      </c>
      <c r="H247" s="522" t="s">
        <v>56</v>
      </c>
      <c r="I247" s="533" t="s">
        <v>146</v>
      </c>
      <c r="J247" s="522" t="s">
        <v>58</v>
      </c>
      <c r="K247" s="515" t="s">
        <v>344</v>
      </c>
      <c r="L247" s="521">
        <v>6.75</v>
      </c>
      <c r="M247" s="520" t="s">
        <v>60</v>
      </c>
    </row>
    <row r="248" spans="1:13">
      <c r="A248" s="525" t="s">
        <v>285</v>
      </c>
      <c r="B248" s="520" t="s">
        <v>335</v>
      </c>
      <c r="C248" s="528">
        <v>2863</v>
      </c>
      <c r="D248" s="519" t="s">
        <v>342</v>
      </c>
      <c r="E248" s="519" t="s">
        <v>53</v>
      </c>
      <c r="F248" s="536" t="s">
        <v>349</v>
      </c>
      <c r="G248" s="523" t="s">
        <v>288</v>
      </c>
      <c r="H248" s="522" t="s">
        <v>56</v>
      </c>
      <c r="I248" s="533" t="s">
        <v>146</v>
      </c>
      <c r="J248" s="522" t="s">
        <v>58</v>
      </c>
      <c r="K248" s="515" t="s">
        <v>344</v>
      </c>
      <c r="L248" s="521">
        <v>6.75</v>
      </c>
      <c r="M248" s="520" t="s">
        <v>60</v>
      </c>
    </row>
    <row r="249" spans="1:13">
      <c r="A249" s="525" t="s">
        <v>285</v>
      </c>
      <c r="B249" s="520" t="s">
        <v>335</v>
      </c>
      <c r="C249" s="528">
        <v>2860</v>
      </c>
      <c r="D249" s="519" t="s">
        <v>342</v>
      </c>
      <c r="E249" s="519" t="s">
        <v>53</v>
      </c>
      <c r="F249" s="536" t="s">
        <v>377</v>
      </c>
      <c r="G249" s="523" t="s">
        <v>288</v>
      </c>
      <c r="H249" s="522" t="s">
        <v>56</v>
      </c>
      <c r="I249" s="533" t="s">
        <v>146</v>
      </c>
      <c r="J249" s="522" t="s">
        <v>58</v>
      </c>
      <c r="K249" s="515" t="s">
        <v>344</v>
      </c>
      <c r="L249" s="521">
        <v>6.75</v>
      </c>
      <c r="M249" s="520" t="s">
        <v>60</v>
      </c>
    </row>
    <row r="250" spans="1:13">
      <c r="A250" s="525" t="s">
        <v>285</v>
      </c>
      <c r="B250" s="520" t="s">
        <v>335</v>
      </c>
      <c r="C250" s="528" t="s">
        <v>378</v>
      </c>
      <c r="D250" s="519" t="s">
        <v>342</v>
      </c>
      <c r="E250" s="519" t="s">
        <v>53</v>
      </c>
      <c r="F250" s="536" t="s">
        <v>379</v>
      </c>
      <c r="G250" s="538" t="s">
        <v>288</v>
      </c>
      <c r="H250" s="522" t="s">
        <v>56</v>
      </c>
      <c r="I250" s="538" t="s">
        <v>146</v>
      </c>
      <c r="J250" s="522" t="s">
        <v>58</v>
      </c>
      <c r="K250" s="515" t="s">
        <v>344</v>
      </c>
      <c r="L250" s="521">
        <v>6.75</v>
      </c>
      <c r="M250" s="520" t="s">
        <v>60</v>
      </c>
    </row>
    <row r="251" spans="1:13">
      <c r="A251" s="525" t="s">
        <v>285</v>
      </c>
      <c r="B251" s="520" t="s">
        <v>335</v>
      </c>
      <c r="C251" s="528" t="s">
        <v>380</v>
      </c>
      <c r="D251" s="519" t="s">
        <v>342</v>
      </c>
      <c r="E251" s="519" t="s">
        <v>53</v>
      </c>
      <c r="F251" s="536" t="s">
        <v>381</v>
      </c>
      <c r="G251" s="538" t="s">
        <v>288</v>
      </c>
      <c r="H251" s="522" t="s">
        <v>56</v>
      </c>
      <c r="I251" s="538" t="s">
        <v>146</v>
      </c>
      <c r="J251" s="522" t="s">
        <v>58</v>
      </c>
      <c r="K251" s="515" t="s">
        <v>344</v>
      </c>
      <c r="L251" s="521">
        <v>6.75</v>
      </c>
      <c r="M251" s="520" t="s">
        <v>60</v>
      </c>
    </row>
    <row r="252" spans="1:13">
      <c r="A252" s="525" t="s">
        <v>285</v>
      </c>
      <c r="B252" s="520" t="s">
        <v>335</v>
      </c>
      <c r="C252" s="528">
        <v>2090</v>
      </c>
      <c r="D252" s="519">
        <v>12200070</v>
      </c>
      <c r="E252" s="519" t="s">
        <v>53</v>
      </c>
      <c r="F252" s="536" t="s">
        <v>382</v>
      </c>
      <c r="G252" s="523" t="s">
        <v>383</v>
      </c>
      <c r="H252" s="522" t="s">
        <v>56</v>
      </c>
      <c r="I252" s="533" t="s">
        <v>57</v>
      </c>
      <c r="J252" s="522" t="s">
        <v>58</v>
      </c>
      <c r="K252" s="515" t="s">
        <v>384</v>
      </c>
      <c r="L252" s="521">
        <v>10.85</v>
      </c>
      <c r="M252" s="520" t="s">
        <v>385</v>
      </c>
    </row>
    <row r="253" spans="1:13">
      <c r="A253" s="525" t="s">
        <v>285</v>
      </c>
      <c r="B253" s="520" t="s">
        <v>335</v>
      </c>
      <c r="C253" s="528">
        <v>2091</v>
      </c>
      <c r="D253" s="519">
        <v>12200070</v>
      </c>
      <c r="E253" s="519" t="s">
        <v>53</v>
      </c>
      <c r="F253" s="536" t="s">
        <v>386</v>
      </c>
      <c r="G253" s="523" t="s">
        <v>383</v>
      </c>
      <c r="H253" s="522" t="s">
        <v>56</v>
      </c>
      <c r="I253" s="533" t="s">
        <v>57</v>
      </c>
      <c r="J253" s="522" t="s">
        <v>58</v>
      </c>
      <c r="K253" s="515" t="s">
        <v>384</v>
      </c>
      <c r="L253" s="521">
        <v>10.85</v>
      </c>
      <c r="M253" s="520" t="s">
        <v>385</v>
      </c>
    </row>
    <row r="254" spans="1:13">
      <c r="A254" s="525" t="s">
        <v>285</v>
      </c>
      <c r="B254" s="520" t="s">
        <v>335</v>
      </c>
      <c r="C254" s="528">
        <v>2092</v>
      </c>
      <c r="D254" s="519">
        <v>12200070</v>
      </c>
      <c r="E254" s="519" t="s">
        <v>53</v>
      </c>
      <c r="F254" s="536" t="s">
        <v>387</v>
      </c>
      <c r="G254" s="523" t="s">
        <v>383</v>
      </c>
      <c r="H254" s="522" t="s">
        <v>56</v>
      </c>
      <c r="I254" s="533" t="s">
        <v>57</v>
      </c>
      <c r="J254" s="522" t="s">
        <v>58</v>
      </c>
      <c r="K254" s="515" t="s">
        <v>384</v>
      </c>
      <c r="L254" s="521">
        <v>10.85</v>
      </c>
      <c r="M254" s="520" t="s">
        <v>385</v>
      </c>
    </row>
    <row r="255" spans="1:13">
      <c r="A255" s="525" t="s">
        <v>285</v>
      </c>
      <c r="B255" s="520" t="s">
        <v>335</v>
      </c>
      <c r="C255" s="528">
        <v>2096</v>
      </c>
      <c r="D255" s="519">
        <v>12200070</v>
      </c>
      <c r="E255" s="519" t="s">
        <v>53</v>
      </c>
      <c r="F255" s="536" t="s">
        <v>388</v>
      </c>
      <c r="G255" s="523" t="s">
        <v>383</v>
      </c>
      <c r="H255" s="522" t="s">
        <v>56</v>
      </c>
      <c r="I255" s="533" t="s">
        <v>57</v>
      </c>
      <c r="J255" s="522" t="s">
        <v>58</v>
      </c>
      <c r="K255" s="515" t="s">
        <v>384</v>
      </c>
      <c r="L255" s="521">
        <v>10.85</v>
      </c>
      <c r="M255" s="520" t="s">
        <v>385</v>
      </c>
    </row>
    <row r="256" spans="1:13">
      <c r="A256" s="525" t="s">
        <v>285</v>
      </c>
      <c r="B256" s="520" t="s">
        <v>335</v>
      </c>
      <c r="C256" s="528">
        <v>2095</v>
      </c>
      <c r="D256" s="519">
        <v>12200070</v>
      </c>
      <c r="E256" s="519" t="s">
        <v>53</v>
      </c>
      <c r="F256" s="536" t="s">
        <v>389</v>
      </c>
      <c r="G256" s="523" t="s">
        <v>383</v>
      </c>
      <c r="H256" s="522" t="s">
        <v>56</v>
      </c>
      <c r="I256" s="533" t="s">
        <v>57</v>
      </c>
      <c r="J256" s="522" t="s">
        <v>58</v>
      </c>
      <c r="K256" s="515" t="s">
        <v>384</v>
      </c>
      <c r="L256" s="521">
        <v>10.85</v>
      </c>
      <c r="M256" s="520" t="s">
        <v>385</v>
      </c>
    </row>
    <row r="257" spans="1:13">
      <c r="A257" s="525" t="s">
        <v>285</v>
      </c>
      <c r="B257" s="520" t="s">
        <v>335</v>
      </c>
      <c r="C257" s="528">
        <v>2097</v>
      </c>
      <c r="D257" s="519">
        <v>12200070</v>
      </c>
      <c r="E257" s="519" t="s">
        <v>53</v>
      </c>
      <c r="F257" s="536" t="s">
        <v>390</v>
      </c>
      <c r="G257" s="523" t="s">
        <v>383</v>
      </c>
      <c r="H257" s="522" t="s">
        <v>56</v>
      </c>
      <c r="I257" s="533" t="s">
        <v>57</v>
      </c>
      <c r="J257" s="522" t="s">
        <v>58</v>
      </c>
      <c r="K257" s="515" t="s">
        <v>384</v>
      </c>
      <c r="L257" s="521">
        <v>10.85</v>
      </c>
      <c r="M257" s="520" t="s">
        <v>385</v>
      </c>
    </row>
    <row r="258" spans="1:13">
      <c r="A258" s="525" t="s">
        <v>285</v>
      </c>
      <c r="B258" s="520" t="s">
        <v>335</v>
      </c>
      <c r="C258" s="528">
        <v>2580</v>
      </c>
      <c r="D258" s="519">
        <v>12280170</v>
      </c>
      <c r="E258" s="519" t="s">
        <v>53</v>
      </c>
      <c r="F258" s="536" t="s">
        <v>391</v>
      </c>
      <c r="G258" s="523" t="s">
        <v>383</v>
      </c>
      <c r="H258" s="522" t="s">
        <v>56</v>
      </c>
      <c r="I258" s="533" t="s">
        <v>146</v>
      </c>
      <c r="J258" s="522" t="s">
        <v>58</v>
      </c>
      <c r="K258" s="515" t="s">
        <v>392</v>
      </c>
      <c r="L258" s="521">
        <v>8.1999999999999993</v>
      </c>
      <c r="M258" s="520" t="s">
        <v>60</v>
      </c>
    </row>
    <row r="259" spans="1:13">
      <c r="A259" s="525" t="s">
        <v>285</v>
      </c>
      <c r="B259" s="520" t="s">
        <v>335</v>
      </c>
      <c r="C259" s="528">
        <v>2880</v>
      </c>
      <c r="D259" s="519">
        <v>12280170</v>
      </c>
      <c r="E259" s="519" t="s">
        <v>53</v>
      </c>
      <c r="F259" s="536" t="s">
        <v>393</v>
      </c>
      <c r="G259" s="523" t="s">
        <v>383</v>
      </c>
      <c r="H259" s="522" t="s">
        <v>56</v>
      </c>
      <c r="I259" s="533" t="s">
        <v>146</v>
      </c>
      <c r="J259" s="522" t="s">
        <v>58</v>
      </c>
      <c r="K259" s="515" t="s">
        <v>392</v>
      </c>
      <c r="L259" s="521">
        <v>8.1999999999999993</v>
      </c>
      <c r="M259" s="520" t="s">
        <v>60</v>
      </c>
    </row>
    <row r="260" spans="1:13">
      <c r="A260" s="525" t="s">
        <v>285</v>
      </c>
      <c r="B260" s="520" t="s">
        <v>335</v>
      </c>
      <c r="C260" s="528">
        <v>2881</v>
      </c>
      <c r="D260" s="519">
        <v>12280170</v>
      </c>
      <c r="E260" s="519" t="s">
        <v>53</v>
      </c>
      <c r="F260" s="536" t="s">
        <v>394</v>
      </c>
      <c r="G260" s="523" t="s">
        <v>383</v>
      </c>
      <c r="H260" s="522" t="s">
        <v>56</v>
      </c>
      <c r="I260" s="533" t="s">
        <v>146</v>
      </c>
      <c r="J260" s="522" t="s">
        <v>58</v>
      </c>
      <c r="K260" s="515" t="s">
        <v>392</v>
      </c>
      <c r="L260" s="521">
        <v>8.1999999999999993</v>
      </c>
      <c r="M260" s="520" t="s">
        <v>60</v>
      </c>
    </row>
    <row r="261" spans="1:13">
      <c r="A261" s="525" t="s">
        <v>285</v>
      </c>
      <c r="B261" s="520" t="s">
        <v>335</v>
      </c>
      <c r="C261" s="528">
        <v>2882</v>
      </c>
      <c r="D261" s="519">
        <v>12280170</v>
      </c>
      <c r="E261" s="519" t="s">
        <v>53</v>
      </c>
      <c r="F261" s="536" t="s">
        <v>395</v>
      </c>
      <c r="G261" s="523" t="s">
        <v>383</v>
      </c>
      <c r="H261" s="522" t="s">
        <v>56</v>
      </c>
      <c r="I261" s="533" t="s">
        <v>146</v>
      </c>
      <c r="J261" s="522" t="s">
        <v>58</v>
      </c>
      <c r="K261" s="515" t="s">
        <v>392</v>
      </c>
      <c r="L261" s="521">
        <v>8.1999999999999993</v>
      </c>
      <c r="M261" s="520" t="s">
        <v>60</v>
      </c>
    </row>
    <row r="262" spans="1:13">
      <c r="A262" s="525" t="s">
        <v>285</v>
      </c>
      <c r="B262" s="520" t="s">
        <v>335</v>
      </c>
      <c r="C262" s="528">
        <v>2883</v>
      </c>
      <c r="D262" s="519">
        <v>12280170</v>
      </c>
      <c r="E262" s="519" t="s">
        <v>53</v>
      </c>
      <c r="F262" s="536" t="s">
        <v>396</v>
      </c>
      <c r="G262" s="523" t="s">
        <v>383</v>
      </c>
      <c r="H262" s="522" t="s">
        <v>56</v>
      </c>
      <c r="I262" s="533" t="s">
        <v>146</v>
      </c>
      <c r="J262" s="522" t="s">
        <v>58</v>
      </c>
      <c r="K262" s="515" t="s">
        <v>392</v>
      </c>
      <c r="L262" s="521">
        <v>8.1999999999999993</v>
      </c>
      <c r="M262" s="520" t="s">
        <v>60</v>
      </c>
    </row>
    <row r="263" spans="1:13">
      <c r="A263" s="525" t="s">
        <v>285</v>
      </c>
      <c r="B263" s="520" t="s">
        <v>335</v>
      </c>
      <c r="C263" s="528">
        <v>2890</v>
      </c>
      <c r="D263" s="519">
        <v>12280170</v>
      </c>
      <c r="E263" s="519" t="s">
        <v>53</v>
      </c>
      <c r="F263" s="536" t="s">
        <v>397</v>
      </c>
      <c r="G263" s="523" t="s">
        <v>383</v>
      </c>
      <c r="H263" s="522" t="s">
        <v>56</v>
      </c>
      <c r="I263" s="533" t="s">
        <v>146</v>
      </c>
      <c r="J263" s="522" t="s">
        <v>58</v>
      </c>
      <c r="K263" s="515" t="s">
        <v>392</v>
      </c>
      <c r="L263" s="521">
        <v>8.1999999999999993</v>
      </c>
      <c r="M263" s="520" t="s">
        <v>60</v>
      </c>
    </row>
    <row r="264" spans="1:13">
      <c r="A264" s="525" t="s">
        <v>285</v>
      </c>
      <c r="B264" s="520" t="s">
        <v>335</v>
      </c>
      <c r="C264" s="528">
        <v>8060</v>
      </c>
      <c r="D264" s="519">
        <v>12200570</v>
      </c>
      <c r="E264" s="519" t="s">
        <v>53</v>
      </c>
      <c r="F264" s="536" t="s">
        <v>398</v>
      </c>
      <c r="G264" s="523" t="s">
        <v>399</v>
      </c>
      <c r="H264" s="522" t="s">
        <v>56</v>
      </c>
      <c r="I264" s="533" t="s">
        <v>57</v>
      </c>
      <c r="J264" s="522" t="s">
        <v>58</v>
      </c>
      <c r="K264" s="515" t="s">
        <v>400</v>
      </c>
      <c r="L264" s="521">
        <v>11.3</v>
      </c>
      <c r="M264" s="520" t="s">
        <v>60</v>
      </c>
    </row>
    <row r="265" spans="1:13">
      <c r="A265" s="525" t="s">
        <v>285</v>
      </c>
      <c r="B265" s="520" t="s">
        <v>335</v>
      </c>
      <c r="C265" s="528">
        <v>8065</v>
      </c>
      <c r="D265" s="519">
        <v>12200570</v>
      </c>
      <c r="E265" s="519" t="s">
        <v>53</v>
      </c>
      <c r="F265" s="536" t="s">
        <v>401</v>
      </c>
      <c r="G265" s="523" t="s">
        <v>399</v>
      </c>
      <c r="H265" s="522" t="s">
        <v>56</v>
      </c>
      <c r="I265" s="533" t="s">
        <v>57</v>
      </c>
      <c r="J265" s="522" t="s">
        <v>58</v>
      </c>
      <c r="K265" s="515" t="s">
        <v>400</v>
      </c>
      <c r="L265" s="521">
        <v>11.3</v>
      </c>
      <c r="M265" s="520" t="s">
        <v>60</v>
      </c>
    </row>
    <row r="266" spans="1:13">
      <c r="A266" s="525" t="s">
        <v>285</v>
      </c>
      <c r="B266" s="520" t="s">
        <v>335</v>
      </c>
      <c r="C266" s="528">
        <v>4801</v>
      </c>
      <c r="D266" s="519">
        <v>12480070</v>
      </c>
      <c r="E266" s="519" t="s">
        <v>53</v>
      </c>
      <c r="F266" s="536" t="s">
        <v>402</v>
      </c>
      <c r="G266" s="523" t="s">
        <v>639</v>
      </c>
      <c r="H266" s="522" t="s">
        <v>56</v>
      </c>
      <c r="I266" s="533" t="s">
        <v>146</v>
      </c>
      <c r="J266" s="522" t="s">
        <v>58</v>
      </c>
      <c r="K266" s="515" t="s">
        <v>403</v>
      </c>
      <c r="L266" s="521">
        <v>7.85</v>
      </c>
      <c r="M266" s="520" t="s">
        <v>60</v>
      </c>
    </row>
    <row r="267" spans="1:13">
      <c r="A267" s="525" t="s">
        <v>285</v>
      </c>
      <c r="B267" s="520" t="s">
        <v>335</v>
      </c>
      <c r="C267" s="528">
        <v>4802</v>
      </c>
      <c r="D267" s="519">
        <v>12480070</v>
      </c>
      <c r="E267" s="519" t="s">
        <v>53</v>
      </c>
      <c r="F267" s="536" t="s">
        <v>404</v>
      </c>
      <c r="G267" s="523" t="s">
        <v>639</v>
      </c>
      <c r="H267" s="522" t="s">
        <v>56</v>
      </c>
      <c r="I267" s="533" t="s">
        <v>146</v>
      </c>
      <c r="J267" s="522" t="s">
        <v>58</v>
      </c>
      <c r="K267" s="515" t="s">
        <v>403</v>
      </c>
      <c r="L267" s="521">
        <v>7.85</v>
      </c>
      <c r="M267" s="520" t="s">
        <v>60</v>
      </c>
    </row>
    <row r="268" spans="1:13">
      <c r="A268" s="525" t="s">
        <v>285</v>
      </c>
      <c r="B268" s="520" t="s">
        <v>335</v>
      </c>
      <c r="C268" s="528">
        <v>4803</v>
      </c>
      <c r="D268" s="519">
        <v>12480070</v>
      </c>
      <c r="E268" s="519" t="s">
        <v>53</v>
      </c>
      <c r="F268" s="536" t="s">
        <v>405</v>
      </c>
      <c r="G268" s="523" t="s">
        <v>639</v>
      </c>
      <c r="H268" s="522" t="s">
        <v>56</v>
      </c>
      <c r="I268" s="533" t="s">
        <v>146</v>
      </c>
      <c r="J268" s="522" t="s">
        <v>58</v>
      </c>
      <c r="K268" s="515" t="s">
        <v>403</v>
      </c>
      <c r="L268" s="521">
        <v>7.85</v>
      </c>
      <c r="M268" s="520" t="s">
        <v>60</v>
      </c>
    </row>
    <row r="269" spans="1:13">
      <c r="A269" s="525" t="s">
        <v>285</v>
      </c>
      <c r="B269" s="520" t="s">
        <v>335</v>
      </c>
      <c r="C269" s="528">
        <v>4810</v>
      </c>
      <c r="D269" s="519">
        <v>12480070</v>
      </c>
      <c r="E269" s="519" t="s">
        <v>53</v>
      </c>
      <c r="F269" s="536" t="s">
        <v>406</v>
      </c>
      <c r="G269" s="523" t="s">
        <v>639</v>
      </c>
      <c r="H269" s="522" t="s">
        <v>56</v>
      </c>
      <c r="I269" s="533" t="s">
        <v>146</v>
      </c>
      <c r="J269" s="522" t="s">
        <v>58</v>
      </c>
      <c r="K269" s="515" t="s">
        <v>403</v>
      </c>
      <c r="L269" s="521">
        <v>7.85</v>
      </c>
      <c r="M269" s="520" t="s">
        <v>60</v>
      </c>
    </row>
    <row r="270" spans="1:13">
      <c r="A270" s="525" t="s">
        <v>285</v>
      </c>
      <c r="B270" s="520" t="s">
        <v>335</v>
      </c>
      <c r="C270" s="528">
        <v>4813</v>
      </c>
      <c r="D270" s="519">
        <v>12480070</v>
      </c>
      <c r="E270" s="519" t="s">
        <v>53</v>
      </c>
      <c r="F270" s="536" t="s">
        <v>407</v>
      </c>
      <c r="G270" s="523" t="s">
        <v>639</v>
      </c>
      <c r="H270" s="522" t="s">
        <v>56</v>
      </c>
      <c r="I270" s="533" t="s">
        <v>146</v>
      </c>
      <c r="J270" s="522" t="s">
        <v>58</v>
      </c>
      <c r="K270" s="515" t="s">
        <v>403</v>
      </c>
      <c r="L270" s="521">
        <v>7.85</v>
      </c>
      <c r="M270" s="520" t="s">
        <v>60</v>
      </c>
    </row>
    <row r="271" spans="1:13">
      <c r="A271" s="525" t="s">
        <v>285</v>
      </c>
      <c r="B271" s="520" t="s">
        <v>335</v>
      </c>
      <c r="C271" s="528">
        <v>4720</v>
      </c>
      <c r="D271" s="519">
        <v>12470070</v>
      </c>
      <c r="E271" s="519" t="s">
        <v>53</v>
      </c>
      <c r="F271" s="536" t="s">
        <v>408</v>
      </c>
      <c r="G271" s="523" t="s">
        <v>409</v>
      </c>
      <c r="H271" s="522" t="s">
        <v>56</v>
      </c>
      <c r="I271" s="533" t="s">
        <v>143</v>
      </c>
      <c r="J271" s="522" t="s">
        <v>58</v>
      </c>
      <c r="K271" s="515" t="s">
        <v>410</v>
      </c>
      <c r="L271" s="521">
        <v>3.65</v>
      </c>
      <c r="M271" s="520" t="s">
        <v>60</v>
      </c>
    </row>
    <row r="272" spans="1:13">
      <c r="A272" s="525" t="s">
        <v>285</v>
      </c>
      <c r="B272" s="520" t="s">
        <v>335</v>
      </c>
      <c r="C272" s="528">
        <v>4705</v>
      </c>
      <c r="D272" s="519">
        <v>12470070</v>
      </c>
      <c r="E272" s="519" t="s">
        <v>53</v>
      </c>
      <c r="F272" s="536" t="s">
        <v>411</v>
      </c>
      <c r="G272" s="523" t="s">
        <v>409</v>
      </c>
      <c r="H272" s="522" t="s">
        <v>56</v>
      </c>
      <c r="I272" s="533" t="s">
        <v>143</v>
      </c>
      <c r="J272" s="522" t="s">
        <v>58</v>
      </c>
      <c r="K272" s="515" t="s">
        <v>410</v>
      </c>
      <c r="L272" s="521">
        <v>3.65</v>
      </c>
      <c r="M272" s="520" t="s">
        <v>60</v>
      </c>
    </row>
    <row r="273" spans="1:13">
      <c r="A273" s="525" t="s">
        <v>285</v>
      </c>
      <c r="B273" s="520" t="s">
        <v>335</v>
      </c>
      <c r="C273" s="528">
        <v>4706</v>
      </c>
      <c r="D273" s="519">
        <v>12470070</v>
      </c>
      <c r="E273" s="519" t="s">
        <v>53</v>
      </c>
      <c r="F273" s="536" t="s">
        <v>412</v>
      </c>
      <c r="G273" s="523" t="s">
        <v>409</v>
      </c>
      <c r="H273" s="522" t="s">
        <v>56</v>
      </c>
      <c r="I273" s="533" t="s">
        <v>143</v>
      </c>
      <c r="J273" s="522" t="s">
        <v>58</v>
      </c>
      <c r="K273" s="515" t="s">
        <v>410</v>
      </c>
      <c r="L273" s="521">
        <v>3.65</v>
      </c>
      <c r="M273" s="520" t="s">
        <v>60</v>
      </c>
    </row>
    <row r="274" spans="1:13">
      <c r="A274" s="525" t="s">
        <v>285</v>
      </c>
      <c r="B274" s="520" t="s">
        <v>335</v>
      </c>
      <c r="C274" s="528">
        <v>4702</v>
      </c>
      <c r="D274" s="519">
        <v>12470070</v>
      </c>
      <c r="E274" s="519" t="s">
        <v>53</v>
      </c>
      <c r="F274" s="536" t="s">
        <v>413</v>
      </c>
      <c r="G274" s="523" t="s">
        <v>414</v>
      </c>
      <c r="H274" s="522" t="s">
        <v>56</v>
      </c>
      <c r="I274" s="533" t="s">
        <v>143</v>
      </c>
      <c r="J274" s="522" t="s">
        <v>58</v>
      </c>
      <c r="K274" s="515" t="s">
        <v>415</v>
      </c>
      <c r="L274" s="521">
        <v>3.8</v>
      </c>
      <c r="M274" s="520" t="s">
        <v>60</v>
      </c>
    </row>
    <row r="275" spans="1:13">
      <c r="A275" s="525" t="s">
        <v>285</v>
      </c>
      <c r="B275" s="520" t="s">
        <v>335</v>
      </c>
      <c r="C275" s="528">
        <v>4709</v>
      </c>
      <c r="D275" s="519">
        <v>12470070</v>
      </c>
      <c r="E275" s="519" t="s">
        <v>53</v>
      </c>
      <c r="F275" s="536" t="s">
        <v>416</v>
      </c>
      <c r="G275" s="523" t="s">
        <v>414</v>
      </c>
      <c r="H275" s="522" t="s">
        <v>56</v>
      </c>
      <c r="I275" s="533" t="s">
        <v>143</v>
      </c>
      <c r="J275" s="522" t="s">
        <v>58</v>
      </c>
      <c r="K275" s="515" t="s">
        <v>415</v>
      </c>
      <c r="L275" s="521">
        <v>3.8</v>
      </c>
      <c r="M275" s="520" t="s">
        <v>60</v>
      </c>
    </row>
    <row r="276" spans="1:13">
      <c r="A276" s="525" t="s">
        <v>285</v>
      </c>
      <c r="B276" s="520" t="s">
        <v>335</v>
      </c>
      <c r="C276" s="528">
        <v>4711</v>
      </c>
      <c r="D276" s="519">
        <v>12470070</v>
      </c>
      <c r="E276" s="519" t="s">
        <v>53</v>
      </c>
      <c r="F276" s="536" t="s">
        <v>417</v>
      </c>
      <c r="G276" s="523" t="s">
        <v>414</v>
      </c>
      <c r="H276" s="522" t="s">
        <v>56</v>
      </c>
      <c r="I276" s="533" t="s">
        <v>143</v>
      </c>
      <c r="J276" s="522" t="s">
        <v>58</v>
      </c>
      <c r="K276" s="515" t="s">
        <v>415</v>
      </c>
      <c r="L276" s="521">
        <v>3.8</v>
      </c>
      <c r="M276" s="520" t="s">
        <v>60</v>
      </c>
    </row>
    <row r="277" spans="1:13">
      <c r="A277" s="525" t="s">
        <v>285</v>
      </c>
      <c r="B277" s="520" t="s">
        <v>335</v>
      </c>
      <c r="C277" s="528">
        <v>4703</v>
      </c>
      <c r="D277" s="519">
        <v>12470070</v>
      </c>
      <c r="E277" s="519" t="s">
        <v>53</v>
      </c>
      <c r="F277" s="536" t="s">
        <v>418</v>
      </c>
      <c r="G277" s="523" t="s">
        <v>414</v>
      </c>
      <c r="H277" s="522" t="s">
        <v>56</v>
      </c>
      <c r="I277" s="533" t="s">
        <v>143</v>
      </c>
      <c r="J277" s="522" t="s">
        <v>58</v>
      </c>
      <c r="K277" s="515" t="s">
        <v>415</v>
      </c>
      <c r="L277" s="521">
        <v>3.8</v>
      </c>
      <c r="M277" s="520" t="s">
        <v>60</v>
      </c>
    </row>
    <row r="278" spans="1:13">
      <c r="A278" s="525" t="s">
        <v>285</v>
      </c>
      <c r="B278" s="520" t="s">
        <v>335</v>
      </c>
      <c r="C278" s="528">
        <v>4704</v>
      </c>
      <c r="D278" s="519">
        <v>12470070</v>
      </c>
      <c r="E278" s="519" t="s">
        <v>53</v>
      </c>
      <c r="F278" s="536" t="s">
        <v>419</v>
      </c>
      <c r="G278" s="523" t="s">
        <v>414</v>
      </c>
      <c r="H278" s="522" t="s">
        <v>56</v>
      </c>
      <c r="I278" s="533" t="s">
        <v>143</v>
      </c>
      <c r="J278" s="522" t="s">
        <v>58</v>
      </c>
      <c r="K278" s="515" t="s">
        <v>415</v>
      </c>
      <c r="L278" s="521">
        <v>3.8</v>
      </c>
      <c r="M278" s="520" t="s">
        <v>60</v>
      </c>
    </row>
    <row r="279" spans="1:13">
      <c r="A279" s="525" t="s">
        <v>285</v>
      </c>
      <c r="B279" s="520" t="s">
        <v>335</v>
      </c>
      <c r="C279" s="528">
        <v>4701</v>
      </c>
      <c r="D279" s="519">
        <v>12470070</v>
      </c>
      <c r="E279" s="519" t="s">
        <v>53</v>
      </c>
      <c r="F279" s="536" t="s">
        <v>420</v>
      </c>
      <c r="G279" s="523" t="s">
        <v>414</v>
      </c>
      <c r="H279" s="522" t="s">
        <v>56</v>
      </c>
      <c r="I279" s="533" t="s">
        <v>143</v>
      </c>
      <c r="J279" s="522" t="s">
        <v>58</v>
      </c>
      <c r="K279" s="515" t="s">
        <v>415</v>
      </c>
      <c r="L279" s="521">
        <v>3.8</v>
      </c>
      <c r="M279" s="520" t="s">
        <v>60</v>
      </c>
    </row>
    <row r="280" spans="1:13">
      <c r="A280" s="525" t="s">
        <v>285</v>
      </c>
      <c r="B280" s="520" t="s">
        <v>335</v>
      </c>
      <c r="C280" s="528">
        <v>4721</v>
      </c>
      <c r="D280" s="519">
        <v>12470070</v>
      </c>
      <c r="E280" s="519" t="s">
        <v>53</v>
      </c>
      <c r="F280" s="536" t="s">
        <v>421</v>
      </c>
      <c r="G280" s="523" t="s">
        <v>639</v>
      </c>
      <c r="H280" s="522" t="s">
        <v>56</v>
      </c>
      <c r="I280" s="533" t="s">
        <v>143</v>
      </c>
      <c r="J280" s="522" t="s">
        <v>58</v>
      </c>
      <c r="K280" s="515" t="s">
        <v>422</v>
      </c>
      <c r="L280" s="521">
        <v>1.75</v>
      </c>
      <c r="M280" s="520" t="s">
        <v>60</v>
      </c>
    </row>
    <row r="281" spans="1:13">
      <c r="A281" s="525" t="s">
        <v>285</v>
      </c>
      <c r="B281" s="520" t="s">
        <v>335</v>
      </c>
      <c r="C281" s="528">
        <v>4707</v>
      </c>
      <c r="D281" s="519">
        <v>12470070</v>
      </c>
      <c r="E281" s="519" t="s">
        <v>53</v>
      </c>
      <c r="F281" s="536" t="s">
        <v>423</v>
      </c>
      <c r="G281" s="538" t="s">
        <v>414</v>
      </c>
      <c r="H281" s="522" t="s">
        <v>56</v>
      </c>
      <c r="I281" s="538" t="s">
        <v>143</v>
      </c>
      <c r="J281" s="522" t="s">
        <v>58</v>
      </c>
      <c r="K281" s="515" t="s">
        <v>415</v>
      </c>
      <c r="L281" s="521">
        <v>3.8</v>
      </c>
      <c r="M281" s="520" t="s">
        <v>60</v>
      </c>
    </row>
    <row r="282" spans="1:13">
      <c r="A282" s="525" t="s">
        <v>424</v>
      </c>
      <c r="B282" s="520" t="s">
        <v>425</v>
      </c>
      <c r="C282" s="528">
        <v>7172270</v>
      </c>
      <c r="D282" s="519">
        <v>7172270</v>
      </c>
      <c r="E282" s="519" t="s">
        <v>53</v>
      </c>
      <c r="F282" s="536" t="s">
        <v>426</v>
      </c>
      <c r="G282" s="523" t="s">
        <v>427</v>
      </c>
      <c r="H282" s="522" t="s">
        <v>428</v>
      </c>
      <c r="I282" s="533" t="s">
        <v>429</v>
      </c>
      <c r="J282" s="522" t="s">
        <v>118</v>
      </c>
      <c r="K282" s="515" t="s">
        <v>59</v>
      </c>
      <c r="L282" s="521">
        <v>2.5499999999999998</v>
      </c>
      <c r="M282" s="520" t="s">
        <v>60</v>
      </c>
    </row>
    <row r="283" spans="1:13">
      <c r="A283" s="525" t="s">
        <v>430</v>
      </c>
      <c r="B283" s="520" t="s">
        <v>431</v>
      </c>
      <c r="C283" s="528">
        <v>2004</v>
      </c>
      <c r="D283" s="519">
        <v>12044075</v>
      </c>
      <c r="E283" s="519" t="s">
        <v>53</v>
      </c>
      <c r="F283" s="536" t="s">
        <v>432</v>
      </c>
      <c r="G283" s="523" t="s">
        <v>288</v>
      </c>
      <c r="H283" s="522" t="s">
        <v>56</v>
      </c>
      <c r="I283" s="533" t="s">
        <v>57</v>
      </c>
      <c r="J283" s="522" t="s">
        <v>58</v>
      </c>
      <c r="K283" s="515" t="s">
        <v>59</v>
      </c>
      <c r="L283" s="521">
        <v>10.85</v>
      </c>
      <c r="M283" s="520" t="s">
        <v>60</v>
      </c>
    </row>
    <row r="284" spans="1:13">
      <c r="A284" s="525" t="s">
        <v>430</v>
      </c>
      <c r="B284" s="520" t="s">
        <v>431</v>
      </c>
      <c r="C284" s="528">
        <v>2008</v>
      </c>
      <c r="D284" s="519">
        <v>12044075</v>
      </c>
      <c r="E284" s="519" t="s">
        <v>53</v>
      </c>
      <c r="F284" s="536" t="s">
        <v>433</v>
      </c>
      <c r="G284" s="523" t="s">
        <v>288</v>
      </c>
      <c r="H284" s="522" t="s">
        <v>56</v>
      </c>
      <c r="I284" s="533" t="s">
        <v>57</v>
      </c>
      <c r="J284" s="522" t="s">
        <v>58</v>
      </c>
      <c r="K284" s="515" t="s">
        <v>59</v>
      </c>
      <c r="L284" s="521">
        <v>10.85</v>
      </c>
      <c r="M284" s="520" t="s">
        <v>60</v>
      </c>
    </row>
    <row r="285" spans="1:13">
      <c r="A285" s="525" t="s">
        <v>430</v>
      </c>
      <c r="B285" s="520" t="s">
        <v>431</v>
      </c>
      <c r="C285" s="528" t="s">
        <v>1085</v>
      </c>
      <c r="D285" s="519">
        <v>12044075</v>
      </c>
      <c r="E285" s="519" t="s">
        <v>53</v>
      </c>
      <c r="F285" s="536" t="s">
        <v>1084</v>
      </c>
      <c r="G285" s="523" t="s">
        <v>288</v>
      </c>
      <c r="H285" s="522" t="s">
        <v>56</v>
      </c>
      <c r="I285" s="533" t="s">
        <v>57</v>
      </c>
      <c r="J285" s="522" t="s">
        <v>58</v>
      </c>
      <c r="K285" s="515" t="s">
        <v>59</v>
      </c>
      <c r="L285" s="521">
        <v>10.85</v>
      </c>
      <c r="M285" s="520" t="s">
        <v>60</v>
      </c>
    </row>
    <row r="286" spans="1:13">
      <c r="A286" s="525" t="s">
        <v>430</v>
      </c>
      <c r="B286" s="520" t="s">
        <v>431</v>
      </c>
      <c r="C286" s="528">
        <v>2010</v>
      </c>
      <c r="D286" s="519">
        <v>12044075</v>
      </c>
      <c r="E286" s="519" t="s">
        <v>53</v>
      </c>
      <c r="F286" s="536" t="s">
        <v>434</v>
      </c>
      <c r="G286" s="523" t="s">
        <v>288</v>
      </c>
      <c r="H286" s="522" t="s">
        <v>56</v>
      </c>
      <c r="I286" s="533" t="s">
        <v>57</v>
      </c>
      <c r="J286" s="522" t="s">
        <v>58</v>
      </c>
      <c r="K286" s="515" t="s">
        <v>59</v>
      </c>
      <c r="L286" s="521">
        <v>10.85</v>
      </c>
      <c r="M286" s="520" t="s">
        <v>60</v>
      </c>
    </row>
    <row r="287" spans="1:13">
      <c r="A287" s="525" t="s">
        <v>430</v>
      </c>
      <c r="B287" s="520" t="s">
        <v>431</v>
      </c>
      <c r="C287" s="528">
        <v>2012</v>
      </c>
      <c r="D287" s="519">
        <v>12044075</v>
      </c>
      <c r="E287" s="519" t="s">
        <v>53</v>
      </c>
      <c r="F287" s="536" t="s">
        <v>435</v>
      </c>
      <c r="G287" s="523" t="s">
        <v>288</v>
      </c>
      <c r="H287" s="522" t="s">
        <v>56</v>
      </c>
      <c r="I287" s="533" t="s">
        <v>57</v>
      </c>
      <c r="J287" s="522" t="s">
        <v>58</v>
      </c>
      <c r="K287" s="515" t="s">
        <v>59</v>
      </c>
      <c r="L287" s="521">
        <v>10.85</v>
      </c>
      <c r="M287" s="520" t="s">
        <v>60</v>
      </c>
    </row>
    <row r="288" spans="1:13">
      <c r="A288" s="525" t="s">
        <v>430</v>
      </c>
      <c r="B288" s="520" t="s">
        <v>431</v>
      </c>
      <c r="C288" s="528">
        <v>2013</v>
      </c>
      <c r="D288" s="519">
        <v>12044075</v>
      </c>
      <c r="E288" s="519" t="s">
        <v>53</v>
      </c>
      <c r="F288" s="536" t="s">
        <v>436</v>
      </c>
      <c r="G288" s="523" t="s">
        <v>288</v>
      </c>
      <c r="H288" s="522" t="s">
        <v>56</v>
      </c>
      <c r="I288" s="533" t="s">
        <v>57</v>
      </c>
      <c r="J288" s="522" t="s">
        <v>58</v>
      </c>
      <c r="K288" s="515" t="s">
        <v>59</v>
      </c>
      <c r="L288" s="521">
        <v>10.85</v>
      </c>
      <c r="M288" s="520" t="s">
        <v>60</v>
      </c>
    </row>
    <row r="289" spans="1:13">
      <c r="A289" s="525" t="s">
        <v>430</v>
      </c>
      <c r="B289" s="520" t="s">
        <v>431</v>
      </c>
      <c r="C289" s="528">
        <v>2015</v>
      </c>
      <c r="D289" s="519">
        <v>12044075</v>
      </c>
      <c r="E289" s="519" t="s">
        <v>53</v>
      </c>
      <c r="F289" s="536" t="s">
        <v>437</v>
      </c>
      <c r="G289" s="523" t="s">
        <v>288</v>
      </c>
      <c r="H289" s="522" t="s">
        <v>56</v>
      </c>
      <c r="I289" s="533" t="s">
        <v>57</v>
      </c>
      <c r="J289" s="522" t="s">
        <v>58</v>
      </c>
      <c r="K289" s="515" t="s">
        <v>59</v>
      </c>
      <c r="L289" s="521">
        <v>10.85</v>
      </c>
      <c r="M289" s="520" t="s">
        <v>60</v>
      </c>
    </row>
    <row r="290" spans="1:13">
      <c r="A290" s="525" t="s">
        <v>430</v>
      </c>
      <c r="B290" s="520" t="s">
        <v>431</v>
      </c>
      <c r="C290" s="528" t="s">
        <v>1083</v>
      </c>
      <c r="D290" s="519">
        <v>12044075</v>
      </c>
      <c r="E290" s="519" t="s">
        <v>53</v>
      </c>
      <c r="F290" s="536" t="s">
        <v>1082</v>
      </c>
      <c r="G290" s="523" t="s">
        <v>288</v>
      </c>
      <c r="H290" s="522" t="s">
        <v>56</v>
      </c>
      <c r="I290" s="533" t="s">
        <v>57</v>
      </c>
      <c r="J290" s="522" t="s">
        <v>58</v>
      </c>
      <c r="K290" s="515" t="s">
        <v>59</v>
      </c>
      <c r="L290" s="521">
        <v>10.85</v>
      </c>
      <c r="M290" s="520" t="s">
        <v>60</v>
      </c>
    </row>
    <row r="291" spans="1:13">
      <c r="A291" s="525" t="s">
        <v>430</v>
      </c>
      <c r="B291" s="520" t="s">
        <v>431</v>
      </c>
      <c r="C291" s="528">
        <v>2016</v>
      </c>
      <c r="D291" s="519">
        <v>12044075</v>
      </c>
      <c r="E291" s="519" t="s">
        <v>53</v>
      </c>
      <c r="F291" s="536" t="s">
        <v>438</v>
      </c>
      <c r="G291" s="523" t="s">
        <v>288</v>
      </c>
      <c r="H291" s="522" t="s">
        <v>56</v>
      </c>
      <c r="I291" s="533" t="s">
        <v>57</v>
      </c>
      <c r="J291" s="522" t="s">
        <v>58</v>
      </c>
      <c r="K291" s="515" t="s">
        <v>59</v>
      </c>
      <c r="L291" s="521">
        <v>10.85</v>
      </c>
      <c r="M291" s="520" t="s">
        <v>60</v>
      </c>
    </row>
    <row r="292" spans="1:13">
      <c r="A292" s="525" t="s">
        <v>430</v>
      </c>
      <c r="B292" s="520" t="s">
        <v>431</v>
      </c>
      <c r="C292" s="528">
        <v>2019</v>
      </c>
      <c r="D292" s="519">
        <v>12044075</v>
      </c>
      <c r="E292" s="519" t="s">
        <v>53</v>
      </c>
      <c r="F292" s="536" t="s">
        <v>439</v>
      </c>
      <c r="G292" s="523" t="s">
        <v>288</v>
      </c>
      <c r="H292" s="522" t="s">
        <v>56</v>
      </c>
      <c r="I292" s="533" t="s">
        <v>57</v>
      </c>
      <c r="J292" s="522" t="s">
        <v>58</v>
      </c>
      <c r="K292" s="515" t="s">
        <v>59</v>
      </c>
      <c r="L292" s="521">
        <v>10.85</v>
      </c>
      <c r="M292" s="520" t="s">
        <v>60</v>
      </c>
    </row>
    <row r="293" spans="1:13">
      <c r="A293" s="525" t="s">
        <v>430</v>
      </c>
      <c r="B293" s="520" t="s">
        <v>431</v>
      </c>
      <c r="C293" s="528">
        <v>2042</v>
      </c>
      <c r="D293" s="519">
        <v>12044075</v>
      </c>
      <c r="E293" s="519" t="s">
        <v>53</v>
      </c>
      <c r="F293" s="536" t="s">
        <v>440</v>
      </c>
      <c r="G293" s="523" t="s">
        <v>288</v>
      </c>
      <c r="H293" s="522" t="s">
        <v>56</v>
      </c>
      <c r="I293" s="533" t="s">
        <v>57</v>
      </c>
      <c r="J293" s="522" t="s">
        <v>58</v>
      </c>
      <c r="K293" s="515" t="s">
        <v>59</v>
      </c>
      <c r="L293" s="521">
        <v>10.85</v>
      </c>
      <c r="M293" s="520" t="s">
        <v>60</v>
      </c>
    </row>
    <row r="294" spans="1:13">
      <c r="A294" s="525" t="s">
        <v>430</v>
      </c>
      <c r="B294" s="520" t="s">
        <v>431</v>
      </c>
      <c r="C294" s="528">
        <v>2043</v>
      </c>
      <c r="D294" s="519">
        <v>12044075</v>
      </c>
      <c r="E294" s="519" t="s">
        <v>53</v>
      </c>
      <c r="F294" s="536" t="s">
        <v>441</v>
      </c>
      <c r="G294" s="523" t="s">
        <v>288</v>
      </c>
      <c r="H294" s="522" t="s">
        <v>56</v>
      </c>
      <c r="I294" s="533" t="s">
        <v>57</v>
      </c>
      <c r="J294" s="522" t="s">
        <v>58</v>
      </c>
      <c r="K294" s="515" t="s">
        <v>59</v>
      </c>
      <c r="L294" s="521">
        <v>10.85</v>
      </c>
      <c r="M294" s="520" t="s">
        <v>60</v>
      </c>
    </row>
    <row r="295" spans="1:13">
      <c r="A295" s="525" t="s">
        <v>430</v>
      </c>
      <c r="B295" s="520" t="s">
        <v>431</v>
      </c>
      <c r="C295" s="528">
        <v>2045</v>
      </c>
      <c r="D295" s="519">
        <v>12044075</v>
      </c>
      <c r="E295" s="519" t="s">
        <v>53</v>
      </c>
      <c r="F295" s="536" t="s">
        <v>442</v>
      </c>
      <c r="G295" s="523" t="s">
        <v>288</v>
      </c>
      <c r="H295" s="522" t="s">
        <v>56</v>
      </c>
      <c r="I295" s="533" t="s">
        <v>57</v>
      </c>
      <c r="J295" s="522" t="s">
        <v>58</v>
      </c>
      <c r="K295" s="515" t="s">
        <v>59</v>
      </c>
      <c r="L295" s="521">
        <v>10.85</v>
      </c>
      <c r="M295" s="520" t="s">
        <v>60</v>
      </c>
    </row>
    <row r="296" spans="1:13">
      <c r="A296" s="525" t="s">
        <v>430</v>
      </c>
      <c r="B296" s="520" t="s">
        <v>431</v>
      </c>
      <c r="C296" s="528">
        <v>2047</v>
      </c>
      <c r="D296" s="519">
        <v>12044075</v>
      </c>
      <c r="E296" s="519" t="s">
        <v>53</v>
      </c>
      <c r="F296" s="536" t="s">
        <v>443</v>
      </c>
      <c r="G296" s="523" t="s">
        <v>288</v>
      </c>
      <c r="H296" s="522" t="s">
        <v>56</v>
      </c>
      <c r="I296" s="533" t="s">
        <v>57</v>
      </c>
      <c r="J296" s="522" t="s">
        <v>58</v>
      </c>
      <c r="K296" s="515" t="s">
        <v>59</v>
      </c>
      <c r="L296" s="521">
        <v>10.85</v>
      </c>
      <c r="M296" s="520" t="s">
        <v>60</v>
      </c>
    </row>
    <row r="297" spans="1:13">
      <c r="A297" s="525" t="s">
        <v>430</v>
      </c>
      <c r="B297" s="520" t="s">
        <v>431</v>
      </c>
      <c r="C297" s="528">
        <v>2048</v>
      </c>
      <c r="D297" s="519">
        <v>12044075</v>
      </c>
      <c r="E297" s="519" t="s">
        <v>53</v>
      </c>
      <c r="F297" s="536" t="s">
        <v>444</v>
      </c>
      <c r="G297" s="523" t="s">
        <v>288</v>
      </c>
      <c r="H297" s="522" t="s">
        <v>56</v>
      </c>
      <c r="I297" s="533" t="s">
        <v>57</v>
      </c>
      <c r="J297" s="522" t="s">
        <v>58</v>
      </c>
      <c r="K297" s="515" t="s">
        <v>59</v>
      </c>
      <c r="L297" s="521">
        <v>10.85</v>
      </c>
      <c r="M297" s="520" t="s">
        <v>60</v>
      </c>
    </row>
    <row r="298" spans="1:13">
      <c r="A298" s="525" t="s">
        <v>430</v>
      </c>
      <c r="B298" s="520" t="s">
        <v>431</v>
      </c>
      <c r="C298" s="528">
        <v>2049</v>
      </c>
      <c r="D298" s="519">
        <v>12044075</v>
      </c>
      <c r="E298" s="519" t="s">
        <v>53</v>
      </c>
      <c r="F298" s="536" t="s">
        <v>445</v>
      </c>
      <c r="G298" s="523" t="s">
        <v>288</v>
      </c>
      <c r="H298" s="522" t="s">
        <v>56</v>
      </c>
      <c r="I298" s="533" t="s">
        <v>57</v>
      </c>
      <c r="J298" s="522" t="s">
        <v>58</v>
      </c>
      <c r="K298" s="515" t="s">
        <v>59</v>
      </c>
      <c r="L298" s="521">
        <v>10.85</v>
      </c>
      <c r="M298" s="520" t="s">
        <v>60</v>
      </c>
    </row>
    <row r="299" spans="1:13">
      <c r="A299" s="525" t="s">
        <v>430</v>
      </c>
      <c r="B299" s="520" t="s">
        <v>431</v>
      </c>
      <c r="C299" s="528" t="s">
        <v>1081</v>
      </c>
      <c r="D299" s="519">
        <v>12044075</v>
      </c>
      <c r="E299" s="519" t="s">
        <v>53</v>
      </c>
      <c r="F299" s="536" t="s">
        <v>1080</v>
      </c>
      <c r="G299" s="523" t="s">
        <v>288</v>
      </c>
      <c r="H299" s="522" t="s">
        <v>56</v>
      </c>
      <c r="I299" s="533" t="s">
        <v>57</v>
      </c>
      <c r="J299" s="522" t="s">
        <v>58</v>
      </c>
      <c r="K299" s="515" t="s">
        <v>59</v>
      </c>
      <c r="L299" s="521">
        <v>10.85</v>
      </c>
      <c r="M299" s="520"/>
    </row>
    <row r="300" spans="1:13">
      <c r="A300" s="525" t="s">
        <v>430</v>
      </c>
      <c r="B300" s="520" t="s">
        <v>431</v>
      </c>
      <c r="C300" s="528">
        <v>2061</v>
      </c>
      <c r="D300" s="519">
        <v>12044075</v>
      </c>
      <c r="E300" s="519" t="s">
        <v>53</v>
      </c>
      <c r="F300" s="536" t="s">
        <v>446</v>
      </c>
      <c r="G300" s="523" t="s">
        <v>288</v>
      </c>
      <c r="H300" s="522" t="s">
        <v>56</v>
      </c>
      <c r="I300" s="533" t="s">
        <v>57</v>
      </c>
      <c r="J300" s="522" t="s">
        <v>58</v>
      </c>
      <c r="K300" s="515" t="s">
        <v>59</v>
      </c>
      <c r="L300" s="521">
        <v>10.85</v>
      </c>
      <c r="M300" s="520" t="s">
        <v>60</v>
      </c>
    </row>
    <row r="301" spans="1:13">
      <c r="A301" s="525" t="s">
        <v>430</v>
      </c>
      <c r="B301" s="520" t="s">
        <v>431</v>
      </c>
      <c r="C301" s="528">
        <v>2062</v>
      </c>
      <c r="D301" s="519">
        <v>12044075</v>
      </c>
      <c r="E301" s="519" t="s">
        <v>53</v>
      </c>
      <c r="F301" s="536" t="s">
        <v>447</v>
      </c>
      <c r="G301" s="523" t="s">
        <v>288</v>
      </c>
      <c r="H301" s="522" t="s">
        <v>56</v>
      </c>
      <c r="I301" s="533" t="s">
        <v>57</v>
      </c>
      <c r="J301" s="522" t="s">
        <v>58</v>
      </c>
      <c r="K301" s="515" t="s">
        <v>59</v>
      </c>
      <c r="L301" s="521">
        <v>10.85</v>
      </c>
      <c r="M301" s="520" t="s">
        <v>60</v>
      </c>
    </row>
    <row r="302" spans="1:13">
      <c r="A302" s="525" t="s">
        <v>430</v>
      </c>
      <c r="B302" s="520" t="s">
        <v>431</v>
      </c>
      <c r="C302" s="528">
        <v>2064</v>
      </c>
      <c r="D302" s="519">
        <v>12044075</v>
      </c>
      <c r="E302" s="519" t="s">
        <v>53</v>
      </c>
      <c r="F302" s="536" t="s">
        <v>448</v>
      </c>
      <c r="G302" s="523" t="s">
        <v>288</v>
      </c>
      <c r="H302" s="522" t="s">
        <v>56</v>
      </c>
      <c r="I302" s="533" t="s">
        <v>57</v>
      </c>
      <c r="J302" s="522" t="s">
        <v>58</v>
      </c>
      <c r="K302" s="515" t="s">
        <v>59</v>
      </c>
      <c r="L302" s="521">
        <v>10.85</v>
      </c>
      <c r="M302" s="520" t="s">
        <v>60</v>
      </c>
    </row>
    <row r="303" spans="1:13">
      <c r="A303" s="525" t="s">
        <v>430</v>
      </c>
      <c r="B303" s="520" t="s">
        <v>431</v>
      </c>
      <c r="C303" s="528">
        <v>2065</v>
      </c>
      <c r="D303" s="519">
        <v>12044075</v>
      </c>
      <c r="E303" s="519" t="s">
        <v>53</v>
      </c>
      <c r="F303" s="536" t="s">
        <v>449</v>
      </c>
      <c r="G303" s="523" t="s">
        <v>288</v>
      </c>
      <c r="H303" s="522" t="s">
        <v>56</v>
      </c>
      <c r="I303" s="533" t="s">
        <v>57</v>
      </c>
      <c r="J303" s="522" t="s">
        <v>58</v>
      </c>
      <c r="K303" s="515" t="s">
        <v>59</v>
      </c>
      <c r="L303" s="521">
        <v>10.85</v>
      </c>
      <c r="M303" s="520" t="s">
        <v>60</v>
      </c>
    </row>
    <row r="304" spans="1:13">
      <c r="A304" s="525" t="s">
        <v>430</v>
      </c>
      <c r="B304" s="520" t="s">
        <v>431</v>
      </c>
      <c r="C304" s="528">
        <v>2066</v>
      </c>
      <c r="D304" s="519">
        <v>12044075</v>
      </c>
      <c r="E304" s="519" t="s">
        <v>53</v>
      </c>
      <c r="F304" s="536" t="s">
        <v>450</v>
      </c>
      <c r="G304" s="523" t="s">
        <v>288</v>
      </c>
      <c r="H304" s="522" t="s">
        <v>56</v>
      </c>
      <c r="I304" s="533" t="s">
        <v>57</v>
      </c>
      <c r="J304" s="522" t="s">
        <v>58</v>
      </c>
      <c r="K304" s="515" t="s">
        <v>59</v>
      </c>
      <c r="L304" s="521">
        <v>10.85</v>
      </c>
      <c r="M304" s="520" t="s">
        <v>60</v>
      </c>
    </row>
    <row r="305" spans="1:13">
      <c r="A305" s="525" t="s">
        <v>430</v>
      </c>
      <c r="B305" s="520" t="s">
        <v>431</v>
      </c>
      <c r="C305" s="528" t="s">
        <v>1079</v>
      </c>
      <c r="D305" s="519">
        <v>12044075</v>
      </c>
      <c r="E305" s="519" t="s">
        <v>53</v>
      </c>
      <c r="F305" s="536" t="s">
        <v>1078</v>
      </c>
      <c r="G305" s="523" t="s">
        <v>288</v>
      </c>
      <c r="H305" s="522" t="s">
        <v>56</v>
      </c>
      <c r="I305" s="533" t="s">
        <v>57</v>
      </c>
      <c r="J305" s="522" t="s">
        <v>58</v>
      </c>
      <c r="K305" s="515" t="s">
        <v>59</v>
      </c>
      <c r="L305" s="521">
        <v>10.85</v>
      </c>
      <c r="M305" s="520" t="s">
        <v>60</v>
      </c>
    </row>
    <row r="306" spans="1:13">
      <c r="A306" s="525" t="s">
        <v>430</v>
      </c>
      <c r="B306" s="520" t="s">
        <v>431</v>
      </c>
      <c r="C306" s="528">
        <v>2067</v>
      </c>
      <c r="D306" s="519">
        <v>12044075</v>
      </c>
      <c r="E306" s="519" t="s">
        <v>53</v>
      </c>
      <c r="F306" s="536" t="s">
        <v>451</v>
      </c>
      <c r="G306" s="523" t="s">
        <v>288</v>
      </c>
      <c r="H306" s="522" t="s">
        <v>56</v>
      </c>
      <c r="I306" s="533" t="s">
        <v>57</v>
      </c>
      <c r="J306" s="522" t="s">
        <v>58</v>
      </c>
      <c r="K306" s="515" t="s">
        <v>59</v>
      </c>
      <c r="L306" s="521">
        <v>10.85</v>
      </c>
      <c r="M306" s="520" t="s">
        <v>60</v>
      </c>
    </row>
    <row r="307" spans="1:13">
      <c r="A307" s="525" t="s">
        <v>430</v>
      </c>
      <c r="B307" s="520" t="s">
        <v>431</v>
      </c>
      <c r="C307" s="528">
        <v>2068</v>
      </c>
      <c r="D307" s="519">
        <v>12044075</v>
      </c>
      <c r="E307" s="519" t="s">
        <v>53</v>
      </c>
      <c r="F307" s="536" t="s">
        <v>452</v>
      </c>
      <c r="G307" s="523" t="s">
        <v>288</v>
      </c>
      <c r="H307" s="522" t="s">
        <v>56</v>
      </c>
      <c r="I307" s="533" t="s">
        <v>57</v>
      </c>
      <c r="J307" s="522" t="s">
        <v>58</v>
      </c>
      <c r="K307" s="515" t="s">
        <v>59</v>
      </c>
      <c r="L307" s="521">
        <v>10.85</v>
      </c>
      <c r="M307" s="520" t="s">
        <v>60</v>
      </c>
    </row>
    <row r="308" spans="1:13">
      <c r="A308" s="525" t="s">
        <v>430</v>
      </c>
      <c r="B308" s="520" t="s">
        <v>431</v>
      </c>
      <c r="C308" s="528">
        <v>2069</v>
      </c>
      <c r="D308" s="519">
        <v>12044075</v>
      </c>
      <c r="E308" s="519" t="s">
        <v>53</v>
      </c>
      <c r="F308" s="536" t="s">
        <v>453</v>
      </c>
      <c r="G308" s="523" t="s">
        <v>288</v>
      </c>
      <c r="H308" s="522" t="s">
        <v>56</v>
      </c>
      <c r="I308" s="533" t="s">
        <v>57</v>
      </c>
      <c r="J308" s="522" t="s">
        <v>58</v>
      </c>
      <c r="K308" s="515" t="s">
        <v>59</v>
      </c>
      <c r="L308" s="521">
        <v>10.85</v>
      </c>
      <c r="M308" s="520" t="s">
        <v>60</v>
      </c>
    </row>
    <row r="309" spans="1:13">
      <c r="A309" s="525" t="s">
        <v>430</v>
      </c>
      <c r="B309" s="520" t="s">
        <v>431</v>
      </c>
      <c r="C309" s="528" t="s">
        <v>1077</v>
      </c>
      <c r="D309" s="519">
        <v>12044075</v>
      </c>
      <c r="E309" s="519" t="s">
        <v>53</v>
      </c>
      <c r="F309" s="536" t="s">
        <v>1076</v>
      </c>
      <c r="G309" s="523" t="s">
        <v>288</v>
      </c>
      <c r="H309" s="522" t="s">
        <v>56</v>
      </c>
      <c r="I309" s="533" t="s">
        <v>57</v>
      </c>
      <c r="J309" s="522" t="s">
        <v>58</v>
      </c>
      <c r="K309" s="515" t="s">
        <v>59</v>
      </c>
      <c r="L309" s="521">
        <v>10.85</v>
      </c>
      <c r="M309" s="520" t="s">
        <v>60</v>
      </c>
    </row>
    <row r="310" spans="1:13">
      <c r="A310" s="525" t="s">
        <v>430</v>
      </c>
      <c r="B310" s="520" t="s">
        <v>431</v>
      </c>
      <c r="C310" s="528">
        <v>2302</v>
      </c>
      <c r="D310" s="519">
        <v>12044075</v>
      </c>
      <c r="E310" s="519" t="s">
        <v>53</v>
      </c>
      <c r="F310" s="536" t="s">
        <v>454</v>
      </c>
      <c r="G310" s="523" t="s">
        <v>288</v>
      </c>
      <c r="H310" s="522" t="s">
        <v>56</v>
      </c>
      <c r="I310" s="533" t="s">
        <v>57</v>
      </c>
      <c r="J310" s="522" t="s">
        <v>58</v>
      </c>
      <c r="K310" s="515" t="s">
        <v>59</v>
      </c>
      <c r="L310" s="521">
        <v>10.85</v>
      </c>
      <c r="M310" s="520" t="s">
        <v>60</v>
      </c>
    </row>
    <row r="311" spans="1:13">
      <c r="A311" s="525" t="s">
        <v>430</v>
      </c>
      <c r="B311" s="520" t="s">
        <v>431</v>
      </c>
      <c r="C311" s="528">
        <v>2303</v>
      </c>
      <c r="D311" s="519">
        <v>12044075</v>
      </c>
      <c r="E311" s="519" t="s">
        <v>53</v>
      </c>
      <c r="F311" s="536" t="s">
        <v>455</v>
      </c>
      <c r="G311" s="523" t="s">
        <v>288</v>
      </c>
      <c r="H311" s="522" t="s">
        <v>56</v>
      </c>
      <c r="I311" s="533" t="s">
        <v>57</v>
      </c>
      <c r="J311" s="522" t="s">
        <v>58</v>
      </c>
      <c r="K311" s="515" t="s">
        <v>59</v>
      </c>
      <c r="L311" s="521">
        <v>10.85</v>
      </c>
      <c r="M311" s="520" t="s">
        <v>60</v>
      </c>
    </row>
    <row r="312" spans="1:13">
      <c r="A312" s="525" t="s">
        <v>430</v>
      </c>
      <c r="B312" s="520" t="s">
        <v>431</v>
      </c>
      <c r="C312" s="528">
        <v>2305</v>
      </c>
      <c r="D312" s="519">
        <v>12044075</v>
      </c>
      <c r="E312" s="519" t="s">
        <v>53</v>
      </c>
      <c r="F312" s="536" t="s">
        <v>456</v>
      </c>
      <c r="G312" s="523" t="s">
        <v>288</v>
      </c>
      <c r="H312" s="522" t="s">
        <v>56</v>
      </c>
      <c r="I312" s="533" t="s">
        <v>57</v>
      </c>
      <c r="J312" s="522" t="s">
        <v>58</v>
      </c>
      <c r="K312" s="515" t="s">
        <v>59</v>
      </c>
      <c r="L312" s="521">
        <v>10.85</v>
      </c>
      <c r="M312" s="520" t="s">
        <v>60</v>
      </c>
    </row>
    <row r="313" spans="1:13">
      <c r="A313" s="525" t="s">
        <v>430</v>
      </c>
      <c r="B313" s="520" t="s">
        <v>431</v>
      </c>
      <c r="C313" s="528">
        <v>2320</v>
      </c>
      <c r="D313" s="519">
        <v>12044075</v>
      </c>
      <c r="E313" s="519" t="s">
        <v>53</v>
      </c>
      <c r="F313" s="536" t="s">
        <v>457</v>
      </c>
      <c r="G313" s="523" t="s">
        <v>288</v>
      </c>
      <c r="H313" s="522" t="s">
        <v>56</v>
      </c>
      <c r="I313" s="533" t="s">
        <v>57</v>
      </c>
      <c r="J313" s="522" t="s">
        <v>58</v>
      </c>
      <c r="K313" s="515" t="s">
        <v>59</v>
      </c>
      <c r="L313" s="521">
        <v>10.85</v>
      </c>
      <c r="M313" s="520" t="s">
        <v>60</v>
      </c>
    </row>
    <row r="314" spans="1:13">
      <c r="A314" s="525" t="s">
        <v>430</v>
      </c>
      <c r="B314" s="520" t="s">
        <v>431</v>
      </c>
      <c r="C314" s="528" t="s">
        <v>1075</v>
      </c>
      <c r="D314" s="519">
        <v>12044075</v>
      </c>
      <c r="E314" s="519" t="s">
        <v>53</v>
      </c>
      <c r="F314" s="536" t="s">
        <v>1074</v>
      </c>
      <c r="G314" s="523" t="s">
        <v>288</v>
      </c>
      <c r="H314" s="522" t="s">
        <v>56</v>
      </c>
      <c r="I314" s="533" t="s">
        <v>57</v>
      </c>
      <c r="J314" s="522" t="s">
        <v>58</v>
      </c>
      <c r="K314" s="515" t="s">
        <v>59</v>
      </c>
      <c r="L314" s="521">
        <v>10.85</v>
      </c>
      <c r="M314" s="520" t="s">
        <v>60</v>
      </c>
    </row>
    <row r="315" spans="1:13">
      <c r="A315" s="525" t="s">
        <v>430</v>
      </c>
      <c r="B315" s="520" t="s">
        <v>431</v>
      </c>
      <c r="C315" s="528">
        <v>2321</v>
      </c>
      <c r="D315" s="519">
        <v>12044075</v>
      </c>
      <c r="E315" s="519" t="s">
        <v>53</v>
      </c>
      <c r="F315" s="536" t="s">
        <v>458</v>
      </c>
      <c r="G315" s="523" t="s">
        <v>288</v>
      </c>
      <c r="H315" s="522" t="s">
        <v>56</v>
      </c>
      <c r="I315" s="533" t="s">
        <v>57</v>
      </c>
      <c r="J315" s="522" t="s">
        <v>58</v>
      </c>
      <c r="K315" s="515" t="s">
        <v>59</v>
      </c>
      <c r="L315" s="521">
        <v>10.85</v>
      </c>
      <c r="M315" s="520" t="s">
        <v>60</v>
      </c>
    </row>
    <row r="316" spans="1:13">
      <c r="A316" s="525" t="s">
        <v>430</v>
      </c>
      <c r="B316" s="520" t="s">
        <v>431</v>
      </c>
      <c r="C316" s="528">
        <v>2323</v>
      </c>
      <c r="D316" s="519">
        <v>12044075</v>
      </c>
      <c r="E316" s="519" t="s">
        <v>53</v>
      </c>
      <c r="F316" s="536" t="s">
        <v>459</v>
      </c>
      <c r="G316" s="523" t="s">
        <v>288</v>
      </c>
      <c r="H316" s="522" t="s">
        <v>56</v>
      </c>
      <c r="I316" s="533" t="s">
        <v>57</v>
      </c>
      <c r="J316" s="522" t="s">
        <v>58</v>
      </c>
      <c r="K316" s="515" t="s">
        <v>59</v>
      </c>
      <c r="L316" s="521">
        <v>10.85</v>
      </c>
      <c r="M316" s="520" t="s">
        <v>60</v>
      </c>
    </row>
    <row r="317" spans="1:13">
      <c r="A317" s="525" t="s">
        <v>430</v>
      </c>
      <c r="B317" s="520" t="s">
        <v>431</v>
      </c>
      <c r="C317" s="528" t="s">
        <v>1073</v>
      </c>
      <c r="D317" s="519">
        <v>12044075</v>
      </c>
      <c r="E317" s="519" t="s">
        <v>53</v>
      </c>
      <c r="F317" s="536" t="s">
        <v>1072</v>
      </c>
      <c r="G317" s="523" t="s">
        <v>288</v>
      </c>
      <c r="H317" s="522" t="s">
        <v>56</v>
      </c>
      <c r="I317" s="533" t="s">
        <v>57</v>
      </c>
      <c r="J317" s="522" t="s">
        <v>58</v>
      </c>
      <c r="K317" s="515" t="s">
        <v>59</v>
      </c>
      <c r="L317" s="521">
        <v>10.85</v>
      </c>
      <c r="M317" s="520" t="s">
        <v>60</v>
      </c>
    </row>
    <row r="318" spans="1:13">
      <c r="A318" s="525" t="s">
        <v>430</v>
      </c>
      <c r="B318" s="520" t="s">
        <v>431</v>
      </c>
      <c r="C318" s="528">
        <v>2324</v>
      </c>
      <c r="D318" s="519">
        <v>12044075</v>
      </c>
      <c r="E318" s="519" t="s">
        <v>53</v>
      </c>
      <c r="F318" s="536" t="s">
        <v>460</v>
      </c>
      <c r="G318" s="523" t="s">
        <v>288</v>
      </c>
      <c r="H318" s="522" t="s">
        <v>56</v>
      </c>
      <c r="I318" s="533" t="s">
        <v>57</v>
      </c>
      <c r="J318" s="522" t="s">
        <v>58</v>
      </c>
      <c r="K318" s="515" t="s">
        <v>59</v>
      </c>
      <c r="L318" s="521">
        <v>10.85</v>
      </c>
      <c r="M318" s="520" t="s">
        <v>60</v>
      </c>
    </row>
    <row r="319" spans="1:13">
      <c r="A319" s="525" t="s">
        <v>430</v>
      </c>
      <c r="B319" s="520" t="s">
        <v>431</v>
      </c>
      <c r="C319" s="528" t="s">
        <v>1071</v>
      </c>
      <c r="D319" s="519">
        <v>12044075</v>
      </c>
      <c r="E319" s="519" t="s">
        <v>53</v>
      </c>
      <c r="F319" s="536" t="s">
        <v>1070</v>
      </c>
      <c r="G319" s="523" t="s">
        <v>288</v>
      </c>
      <c r="H319" s="522" t="s">
        <v>56</v>
      </c>
      <c r="I319" s="533" t="s">
        <v>57</v>
      </c>
      <c r="J319" s="522" t="s">
        <v>58</v>
      </c>
      <c r="K319" s="515" t="s">
        <v>59</v>
      </c>
      <c r="L319" s="521">
        <v>10.85</v>
      </c>
      <c r="M319" s="520" t="s">
        <v>60</v>
      </c>
    </row>
    <row r="320" spans="1:13">
      <c r="A320" s="525" t="s">
        <v>430</v>
      </c>
      <c r="B320" s="520" t="s">
        <v>431</v>
      </c>
      <c r="C320" s="528" t="s">
        <v>1069</v>
      </c>
      <c r="D320" s="519">
        <v>12044075</v>
      </c>
      <c r="E320" s="519" t="s">
        <v>53</v>
      </c>
      <c r="F320" s="536" t="s">
        <v>1068</v>
      </c>
      <c r="G320" s="523" t="s">
        <v>288</v>
      </c>
      <c r="H320" s="522" t="s">
        <v>56</v>
      </c>
      <c r="I320" s="533" t="s">
        <v>57</v>
      </c>
      <c r="J320" s="522" t="s">
        <v>58</v>
      </c>
      <c r="K320" s="515" t="s">
        <v>59</v>
      </c>
      <c r="L320" s="521">
        <v>10.85</v>
      </c>
      <c r="M320" s="520" t="s">
        <v>60</v>
      </c>
    </row>
    <row r="321" spans="1:13">
      <c r="A321" s="525" t="s">
        <v>430</v>
      </c>
      <c r="B321" s="520" t="s">
        <v>431</v>
      </c>
      <c r="C321" s="528" t="s">
        <v>1067</v>
      </c>
      <c r="D321" s="519">
        <v>12044075</v>
      </c>
      <c r="E321" s="519" t="s">
        <v>53</v>
      </c>
      <c r="F321" s="536" t="s">
        <v>1066</v>
      </c>
      <c r="G321" s="523" t="s">
        <v>288</v>
      </c>
      <c r="H321" s="522" t="s">
        <v>56</v>
      </c>
      <c r="I321" s="533" t="s">
        <v>57</v>
      </c>
      <c r="J321" s="522" t="s">
        <v>58</v>
      </c>
      <c r="K321" s="515" t="s">
        <v>59</v>
      </c>
      <c r="L321" s="521">
        <v>10.85</v>
      </c>
      <c r="M321" s="520" t="s">
        <v>60</v>
      </c>
    </row>
    <row r="322" spans="1:13">
      <c r="A322" s="525" t="s">
        <v>430</v>
      </c>
      <c r="B322" s="520" t="s">
        <v>431</v>
      </c>
      <c r="C322" s="528">
        <v>2325</v>
      </c>
      <c r="D322" s="519">
        <v>12044075</v>
      </c>
      <c r="E322" s="519" t="s">
        <v>53</v>
      </c>
      <c r="F322" s="536" t="s">
        <v>461</v>
      </c>
      <c r="G322" s="523" t="s">
        <v>288</v>
      </c>
      <c r="H322" s="522" t="s">
        <v>56</v>
      </c>
      <c r="I322" s="533" t="s">
        <v>57</v>
      </c>
      <c r="J322" s="522" t="s">
        <v>58</v>
      </c>
      <c r="K322" s="515" t="s">
        <v>59</v>
      </c>
      <c r="L322" s="521">
        <v>10.85</v>
      </c>
      <c r="M322" s="520" t="s">
        <v>60</v>
      </c>
    </row>
    <row r="323" spans="1:13">
      <c r="A323" s="525" t="s">
        <v>430</v>
      </c>
      <c r="B323" s="520" t="s">
        <v>431</v>
      </c>
      <c r="C323" s="528">
        <v>2360</v>
      </c>
      <c r="D323" s="519">
        <v>12044075</v>
      </c>
      <c r="E323" s="519" t="s">
        <v>53</v>
      </c>
      <c r="F323" s="536" t="s">
        <v>462</v>
      </c>
      <c r="G323" s="523" t="s">
        <v>288</v>
      </c>
      <c r="H323" s="522" t="s">
        <v>56</v>
      </c>
      <c r="I323" s="533" t="s">
        <v>57</v>
      </c>
      <c r="J323" s="522" t="s">
        <v>58</v>
      </c>
      <c r="K323" s="515" t="s">
        <v>59</v>
      </c>
      <c r="L323" s="521">
        <v>10.85</v>
      </c>
      <c r="M323" s="520" t="s">
        <v>60</v>
      </c>
    </row>
    <row r="324" spans="1:13">
      <c r="A324" s="525" t="s">
        <v>430</v>
      </c>
      <c r="B324" s="520" t="s">
        <v>431</v>
      </c>
      <c r="C324" s="528">
        <v>2361</v>
      </c>
      <c r="D324" s="519">
        <v>12044075</v>
      </c>
      <c r="E324" s="519" t="s">
        <v>53</v>
      </c>
      <c r="F324" s="536" t="s">
        <v>463</v>
      </c>
      <c r="G324" s="523" t="s">
        <v>288</v>
      </c>
      <c r="H324" s="522" t="s">
        <v>56</v>
      </c>
      <c r="I324" s="533" t="s">
        <v>57</v>
      </c>
      <c r="J324" s="522" t="s">
        <v>58</v>
      </c>
      <c r="K324" s="515" t="s">
        <v>59</v>
      </c>
      <c r="L324" s="521">
        <v>10.85</v>
      </c>
      <c r="M324" s="520" t="s">
        <v>60</v>
      </c>
    </row>
    <row r="325" spans="1:13">
      <c r="A325" s="525" t="s">
        <v>430</v>
      </c>
      <c r="B325" s="520" t="s">
        <v>431</v>
      </c>
      <c r="C325" s="528" t="s">
        <v>1065</v>
      </c>
      <c r="D325" s="519">
        <v>12044075</v>
      </c>
      <c r="E325" s="519" t="s">
        <v>53</v>
      </c>
      <c r="F325" s="536" t="s">
        <v>1064</v>
      </c>
      <c r="G325" s="523" t="s">
        <v>288</v>
      </c>
      <c r="H325" s="522" t="s">
        <v>56</v>
      </c>
      <c r="I325" s="533" t="s">
        <v>57</v>
      </c>
      <c r="J325" s="522" t="s">
        <v>58</v>
      </c>
      <c r="K325" s="515" t="s">
        <v>59</v>
      </c>
      <c r="L325" s="521">
        <v>10.85</v>
      </c>
      <c r="M325" s="520" t="s">
        <v>60</v>
      </c>
    </row>
    <row r="326" spans="1:13">
      <c r="A326" s="525" t="s">
        <v>430</v>
      </c>
      <c r="B326" s="520" t="s">
        <v>431</v>
      </c>
      <c r="C326" s="528">
        <v>2362</v>
      </c>
      <c r="D326" s="519">
        <v>12044075</v>
      </c>
      <c r="E326" s="519" t="s">
        <v>53</v>
      </c>
      <c r="F326" s="536" t="s">
        <v>464</v>
      </c>
      <c r="G326" s="523" t="s">
        <v>288</v>
      </c>
      <c r="H326" s="522" t="s">
        <v>56</v>
      </c>
      <c r="I326" s="533" t="s">
        <v>57</v>
      </c>
      <c r="J326" s="522" t="s">
        <v>58</v>
      </c>
      <c r="K326" s="515" t="s">
        <v>59</v>
      </c>
      <c r="L326" s="521">
        <v>10.85</v>
      </c>
      <c r="M326" s="520" t="s">
        <v>60</v>
      </c>
    </row>
    <row r="327" spans="1:13">
      <c r="A327" s="525" t="s">
        <v>430</v>
      </c>
      <c r="B327" s="520" t="s">
        <v>431</v>
      </c>
      <c r="C327" s="528">
        <v>2363</v>
      </c>
      <c r="D327" s="519">
        <v>12044075</v>
      </c>
      <c r="E327" s="519" t="s">
        <v>53</v>
      </c>
      <c r="F327" s="536" t="s">
        <v>1062</v>
      </c>
      <c r="G327" s="523" t="s">
        <v>288</v>
      </c>
      <c r="H327" s="522" t="s">
        <v>56</v>
      </c>
      <c r="I327" s="533" t="s">
        <v>57</v>
      </c>
      <c r="J327" s="522" t="s">
        <v>58</v>
      </c>
      <c r="K327" s="515" t="s">
        <v>59</v>
      </c>
      <c r="L327" s="521">
        <v>10.85</v>
      </c>
      <c r="M327" s="520" t="s">
        <v>60</v>
      </c>
    </row>
    <row r="328" spans="1:13">
      <c r="A328" s="525" t="s">
        <v>430</v>
      </c>
      <c r="B328" s="520" t="s">
        <v>431</v>
      </c>
      <c r="C328" s="528" t="s">
        <v>1063</v>
      </c>
      <c r="D328" s="519">
        <v>12044075</v>
      </c>
      <c r="E328" s="519" t="s">
        <v>53</v>
      </c>
      <c r="F328" s="536" t="s">
        <v>1062</v>
      </c>
      <c r="G328" s="523" t="s">
        <v>288</v>
      </c>
      <c r="H328" s="522" t="s">
        <v>56</v>
      </c>
      <c r="I328" s="533" t="s">
        <v>57</v>
      </c>
      <c r="J328" s="522" t="s">
        <v>58</v>
      </c>
      <c r="K328" s="515" t="s">
        <v>59</v>
      </c>
      <c r="L328" s="521">
        <v>10.85</v>
      </c>
      <c r="M328" s="520" t="s">
        <v>60</v>
      </c>
    </row>
    <row r="329" spans="1:13">
      <c r="A329" s="525" t="s">
        <v>430</v>
      </c>
      <c r="B329" s="520" t="s">
        <v>431</v>
      </c>
      <c r="C329" s="528">
        <v>2364</v>
      </c>
      <c r="D329" s="519">
        <v>12044075</v>
      </c>
      <c r="E329" s="519" t="s">
        <v>53</v>
      </c>
      <c r="F329" s="537" t="s">
        <v>1061</v>
      </c>
      <c r="G329" s="523" t="s">
        <v>288</v>
      </c>
      <c r="H329" s="522" t="s">
        <v>56</v>
      </c>
      <c r="I329" s="533" t="s">
        <v>57</v>
      </c>
      <c r="J329" s="522" t="s">
        <v>58</v>
      </c>
      <c r="K329" s="515" t="s">
        <v>59</v>
      </c>
      <c r="L329" s="521">
        <v>10.85</v>
      </c>
      <c r="M329" s="520" t="s">
        <v>60</v>
      </c>
    </row>
    <row r="330" spans="1:13">
      <c r="A330" s="525" t="s">
        <v>430</v>
      </c>
      <c r="B330" s="520" t="s">
        <v>431</v>
      </c>
      <c r="C330" s="528">
        <v>2601</v>
      </c>
      <c r="D330" s="519">
        <v>12044075</v>
      </c>
      <c r="E330" s="519" t="s">
        <v>53</v>
      </c>
      <c r="F330" s="536" t="s">
        <v>465</v>
      </c>
      <c r="G330" s="523" t="s">
        <v>288</v>
      </c>
      <c r="H330" s="522" t="s">
        <v>56</v>
      </c>
      <c r="I330" s="533" t="s">
        <v>57</v>
      </c>
      <c r="J330" s="522" t="s">
        <v>58</v>
      </c>
      <c r="K330" s="515" t="s">
        <v>59</v>
      </c>
      <c r="L330" s="521">
        <v>10.85</v>
      </c>
      <c r="M330" s="520" t="s">
        <v>60</v>
      </c>
    </row>
    <row r="331" spans="1:13">
      <c r="A331" s="525" t="s">
        <v>430</v>
      </c>
      <c r="B331" s="520" t="s">
        <v>431</v>
      </c>
      <c r="C331" s="528">
        <v>2602</v>
      </c>
      <c r="D331" s="519">
        <v>12044075</v>
      </c>
      <c r="E331" s="519" t="s">
        <v>53</v>
      </c>
      <c r="F331" s="536" t="s">
        <v>466</v>
      </c>
      <c r="G331" s="523" t="s">
        <v>288</v>
      </c>
      <c r="H331" s="522" t="s">
        <v>56</v>
      </c>
      <c r="I331" s="533" t="s">
        <v>57</v>
      </c>
      <c r="J331" s="522" t="s">
        <v>58</v>
      </c>
      <c r="K331" s="515" t="s">
        <v>59</v>
      </c>
      <c r="L331" s="521">
        <v>10.85</v>
      </c>
      <c r="M331" s="520" t="s">
        <v>60</v>
      </c>
    </row>
    <row r="332" spans="1:13">
      <c r="A332" s="525" t="s">
        <v>430</v>
      </c>
      <c r="B332" s="520" t="s">
        <v>431</v>
      </c>
      <c r="C332" s="528" t="s">
        <v>1060</v>
      </c>
      <c r="D332" s="519">
        <v>12044075</v>
      </c>
      <c r="E332" s="519" t="s">
        <v>53</v>
      </c>
      <c r="F332" s="536" t="s">
        <v>1059</v>
      </c>
      <c r="G332" s="523" t="s">
        <v>288</v>
      </c>
      <c r="H332" s="522" t="s">
        <v>56</v>
      </c>
      <c r="I332" s="533" t="s">
        <v>57</v>
      </c>
      <c r="J332" s="522" t="s">
        <v>58</v>
      </c>
      <c r="K332" s="515" t="s">
        <v>59</v>
      </c>
      <c r="L332" s="521">
        <v>10.85</v>
      </c>
      <c r="M332" s="520" t="s">
        <v>60</v>
      </c>
    </row>
    <row r="333" spans="1:13">
      <c r="A333" s="525" t="s">
        <v>430</v>
      </c>
      <c r="B333" s="520" t="s">
        <v>431</v>
      </c>
      <c r="C333" s="528">
        <v>5001</v>
      </c>
      <c r="D333" s="519">
        <v>12500170</v>
      </c>
      <c r="E333" s="519" t="s">
        <v>53</v>
      </c>
      <c r="F333" s="536" t="s">
        <v>467</v>
      </c>
      <c r="G333" s="523" t="s">
        <v>468</v>
      </c>
      <c r="H333" s="522" t="s">
        <v>56</v>
      </c>
      <c r="I333" s="533" t="s">
        <v>57</v>
      </c>
      <c r="J333" s="522" t="s">
        <v>58</v>
      </c>
      <c r="K333" s="515" t="s">
        <v>59</v>
      </c>
      <c r="L333" s="521">
        <v>6.95</v>
      </c>
      <c r="M333" s="520" t="s">
        <v>60</v>
      </c>
    </row>
    <row r="334" spans="1:13">
      <c r="A334" s="525" t="s">
        <v>430</v>
      </c>
      <c r="B334" s="520" t="s">
        <v>431</v>
      </c>
      <c r="C334" s="528" t="s">
        <v>469</v>
      </c>
      <c r="D334" s="519">
        <v>12500170</v>
      </c>
      <c r="E334" s="522" t="s">
        <v>200</v>
      </c>
      <c r="F334" s="536" t="s">
        <v>470</v>
      </c>
      <c r="G334" s="523" t="s">
        <v>468</v>
      </c>
      <c r="H334" s="522" t="s">
        <v>56</v>
      </c>
      <c r="I334" s="533" t="s">
        <v>57</v>
      </c>
      <c r="J334" s="522" t="s">
        <v>58</v>
      </c>
      <c r="K334" s="515" t="s">
        <v>59</v>
      </c>
      <c r="L334" s="521">
        <v>6.95</v>
      </c>
      <c r="M334" s="520" t="s">
        <v>60</v>
      </c>
    </row>
    <row r="335" spans="1:13">
      <c r="A335" s="525" t="s">
        <v>430</v>
      </c>
      <c r="B335" s="520" t="s">
        <v>431</v>
      </c>
      <c r="C335" s="528">
        <v>5002</v>
      </c>
      <c r="D335" s="519">
        <v>12500170</v>
      </c>
      <c r="E335" s="519" t="s">
        <v>53</v>
      </c>
      <c r="F335" s="536" t="s">
        <v>471</v>
      </c>
      <c r="G335" s="523" t="s">
        <v>468</v>
      </c>
      <c r="H335" s="522" t="s">
        <v>56</v>
      </c>
      <c r="I335" s="533" t="s">
        <v>57</v>
      </c>
      <c r="J335" s="522" t="s">
        <v>58</v>
      </c>
      <c r="K335" s="515" t="s">
        <v>59</v>
      </c>
      <c r="L335" s="521">
        <v>6.95</v>
      </c>
      <c r="M335" s="520" t="s">
        <v>60</v>
      </c>
    </row>
    <row r="336" spans="1:13">
      <c r="A336" s="525" t="s">
        <v>430</v>
      </c>
      <c r="B336" s="520" t="s">
        <v>431</v>
      </c>
      <c r="C336" s="528" t="s">
        <v>472</v>
      </c>
      <c r="D336" s="519">
        <v>12500170</v>
      </c>
      <c r="E336" s="522" t="s">
        <v>200</v>
      </c>
      <c r="F336" s="536" t="s">
        <v>471</v>
      </c>
      <c r="G336" s="523" t="s">
        <v>468</v>
      </c>
      <c r="H336" s="522" t="s">
        <v>56</v>
      </c>
      <c r="I336" s="533" t="s">
        <v>57</v>
      </c>
      <c r="J336" s="522" t="s">
        <v>58</v>
      </c>
      <c r="K336" s="515" t="s">
        <v>59</v>
      </c>
      <c r="L336" s="521">
        <v>6.95</v>
      </c>
      <c r="M336" s="520" t="s">
        <v>60</v>
      </c>
    </row>
    <row r="337" spans="1:13">
      <c r="A337" s="525" t="s">
        <v>430</v>
      </c>
      <c r="B337" s="520" t="s">
        <v>431</v>
      </c>
      <c r="C337" s="528">
        <v>5003</v>
      </c>
      <c r="D337" s="519">
        <v>12500170</v>
      </c>
      <c r="E337" s="519" t="s">
        <v>53</v>
      </c>
      <c r="F337" s="536" t="s">
        <v>473</v>
      </c>
      <c r="G337" s="523" t="s">
        <v>468</v>
      </c>
      <c r="H337" s="522" t="s">
        <v>56</v>
      </c>
      <c r="I337" s="533" t="s">
        <v>57</v>
      </c>
      <c r="J337" s="522" t="s">
        <v>58</v>
      </c>
      <c r="K337" s="515" t="s">
        <v>59</v>
      </c>
      <c r="L337" s="521">
        <v>6.95</v>
      </c>
      <c r="M337" s="520" t="s">
        <v>60</v>
      </c>
    </row>
    <row r="338" spans="1:13">
      <c r="A338" s="525" t="s">
        <v>430</v>
      </c>
      <c r="B338" s="520" t="s">
        <v>431</v>
      </c>
      <c r="C338" s="528">
        <v>5004</v>
      </c>
      <c r="D338" s="519">
        <v>12500170</v>
      </c>
      <c r="E338" s="519" t="s">
        <v>53</v>
      </c>
      <c r="F338" s="536" t="s">
        <v>474</v>
      </c>
      <c r="G338" s="523" t="s">
        <v>468</v>
      </c>
      <c r="H338" s="522" t="s">
        <v>56</v>
      </c>
      <c r="I338" s="533" t="s">
        <v>57</v>
      </c>
      <c r="J338" s="522" t="s">
        <v>58</v>
      </c>
      <c r="K338" s="515" t="s">
        <v>59</v>
      </c>
      <c r="L338" s="521">
        <v>6.95</v>
      </c>
      <c r="M338" s="520" t="s">
        <v>60</v>
      </c>
    </row>
    <row r="339" spans="1:13">
      <c r="A339" s="525" t="s">
        <v>430</v>
      </c>
      <c r="B339" s="520" t="s">
        <v>431</v>
      </c>
      <c r="C339" s="528" t="s">
        <v>475</v>
      </c>
      <c r="D339" s="519">
        <v>12500170</v>
      </c>
      <c r="E339" s="522" t="s">
        <v>200</v>
      </c>
      <c r="F339" s="536" t="s">
        <v>476</v>
      </c>
      <c r="G339" s="523" t="s">
        <v>468</v>
      </c>
      <c r="H339" s="522" t="s">
        <v>56</v>
      </c>
      <c r="I339" s="533" t="s">
        <v>57</v>
      </c>
      <c r="J339" s="522" t="s">
        <v>58</v>
      </c>
      <c r="K339" s="515" t="s">
        <v>59</v>
      </c>
      <c r="L339" s="521">
        <v>6.95</v>
      </c>
      <c r="M339" s="520" t="s">
        <v>60</v>
      </c>
    </row>
    <row r="340" spans="1:13">
      <c r="A340" s="525" t="s">
        <v>430</v>
      </c>
      <c r="B340" s="520" t="s">
        <v>431</v>
      </c>
      <c r="C340" s="528">
        <v>5005</v>
      </c>
      <c r="D340" s="519">
        <v>12500170</v>
      </c>
      <c r="E340" s="519" t="s">
        <v>53</v>
      </c>
      <c r="F340" s="536" t="s">
        <v>477</v>
      </c>
      <c r="G340" s="523" t="s">
        <v>468</v>
      </c>
      <c r="H340" s="522" t="s">
        <v>56</v>
      </c>
      <c r="I340" s="533" t="s">
        <v>57</v>
      </c>
      <c r="J340" s="522" t="s">
        <v>58</v>
      </c>
      <c r="K340" s="515" t="s">
        <v>59</v>
      </c>
      <c r="L340" s="521">
        <v>6.95</v>
      </c>
      <c r="M340" s="520" t="s">
        <v>60</v>
      </c>
    </row>
    <row r="341" spans="1:13">
      <c r="A341" s="525" t="s">
        <v>430</v>
      </c>
      <c r="B341" s="520" t="s">
        <v>431</v>
      </c>
      <c r="C341" s="528">
        <v>5017</v>
      </c>
      <c r="D341" s="519">
        <v>12500170</v>
      </c>
      <c r="E341" s="519" t="s">
        <v>53</v>
      </c>
      <c r="F341" s="536" t="s">
        <v>478</v>
      </c>
      <c r="G341" s="523" t="s">
        <v>468</v>
      </c>
      <c r="H341" s="522" t="s">
        <v>56</v>
      </c>
      <c r="I341" s="533" t="s">
        <v>57</v>
      </c>
      <c r="J341" s="522" t="s">
        <v>58</v>
      </c>
      <c r="K341" s="515" t="s">
        <v>59</v>
      </c>
      <c r="L341" s="521">
        <v>6.95</v>
      </c>
      <c r="M341" s="520" t="s">
        <v>60</v>
      </c>
    </row>
    <row r="342" spans="1:13">
      <c r="A342" s="525" t="s">
        <v>430</v>
      </c>
      <c r="B342" s="520" t="s">
        <v>431</v>
      </c>
      <c r="C342" s="528">
        <v>5020</v>
      </c>
      <c r="D342" s="519">
        <v>12500170</v>
      </c>
      <c r="E342" s="519" t="s">
        <v>53</v>
      </c>
      <c r="F342" s="536" t="s">
        <v>479</v>
      </c>
      <c r="G342" s="523" t="s">
        <v>468</v>
      </c>
      <c r="H342" s="522" t="s">
        <v>56</v>
      </c>
      <c r="I342" s="533" t="s">
        <v>57</v>
      </c>
      <c r="J342" s="522" t="s">
        <v>58</v>
      </c>
      <c r="K342" s="515" t="s">
        <v>59</v>
      </c>
      <c r="L342" s="521">
        <v>6.95</v>
      </c>
      <c r="M342" s="520" t="s">
        <v>60</v>
      </c>
    </row>
    <row r="343" spans="1:13">
      <c r="A343" s="525" t="s">
        <v>430</v>
      </c>
      <c r="B343" s="520" t="s">
        <v>431</v>
      </c>
      <c r="C343" s="528" t="s">
        <v>480</v>
      </c>
      <c r="D343" s="519" t="s">
        <v>1058</v>
      </c>
      <c r="E343" s="522" t="s">
        <v>200</v>
      </c>
      <c r="F343" s="536" t="s">
        <v>481</v>
      </c>
      <c r="G343" s="523" t="s">
        <v>498</v>
      </c>
      <c r="H343" s="522" t="s">
        <v>56</v>
      </c>
      <c r="I343" s="533" t="s">
        <v>57</v>
      </c>
      <c r="J343" s="522" t="s">
        <v>58</v>
      </c>
      <c r="K343" s="515" t="s">
        <v>59</v>
      </c>
      <c r="L343" s="521">
        <v>7.6</v>
      </c>
      <c r="M343" s="520" t="s">
        <v>60</v>
      </c>
    </row>
    <row r="344" spans="1:13">
      <c r="A344" s="525" t="s">
        <v>430</v>
      </c>
      <c r="B344" s="520" t="s">
        <v>431</v>
      </c>
      <c r="C344" s="528">
        <v>5031</v>
      </c>
      <c r="D344" s="519">
        <v>12500170</v>
      </c>
      <c r="E344" s="519" t="s">
        <v>53</v>
      </c>
      <c r="F344" s="536" t="s">
        <v>482</v>
      </c>
      <c r="G344" s="523" t="s">
        <v>468</v>
      </c>
      <c r="H344" s="522" t="s">
        <v>56</v>
      </c>
      <c r="I344" s="533" t="s">
        <v>57</v>
      </c>
      <c r="J344" s="522" t="s">
        <v>58</v>
      </c>
      <c r="K344" s="515" t="s">
        <v>59</v>
      </c>
      <c r="L344" s="521">
        <v>6.95</v>
      </c>
      <c r="M344" s="520" t="s">
        <v>60</v>
      </c>
    </row>
    <row r="345" spans="1:13">
      <c r="A345" s="525" t="s">
        <v>430</v>
      </c>
      <c r="B345" s="520" t="s">
        <v>431</v>
      </c>
      <c r="C345" s="528" t="s">
        <v>483</v>
      </c>
      <c r="D345" s="519">
        <v>12500170</v>
      </c>
      <c r="E345" s="522" t="s">
        <v>200</v>
      </c>
      <c r="F345" s="536" t="s">
        <v>482</v>
      </c>
      <c r="G345" s="523" t="s">
        <v>468</v>
      </c>
      <c r="H345" s="522" t="s">
        <v>56</v>
      </c>
      <c r="I345" s="533" t="s">
        <v>57</v>
      </c>
      <c r="J345" s="522" t="s">
        <v>58</v>
      </c>
      <c r="K345" s="515" t="s">
        <v>59</v>
      </c>
      <c r="L345" s="521">
        <v>6.95</v>
      </c>
      <c r="M345" s="520" t="s">
        <v>60</v>
      </c>
    </row>
    <row r="346" spans="1:13">
      <c r="A346" s="525" t="s">
        <v>430</v>
      </c>
      <c r="B346" s="520" t="s">
        <v>431</v>
      </c>
      <c r="C346" s="528">
        <v>5034</v>
      </c>
      <c r="D346" s="519">
        <v>12500170</v>
      </c>
      <c r="E346" s="519" t="s">
        <v>53</v>
      </c>
      <c r="F346" s="536" t="s">
        <v>484</v>
      </c>
      <c r="G346" s="523" t="s">
        <v>468</v>
      </c>
      <c r="H346" s="522" t="s">
        <v>56</v>
      </c>
      <c r="I346" s="533" t="s">
        <v>57</v>
      </c>
      <c r="J346" s="522" t="s">
        <v>58</v>
      </c>
      <c r="K346" s="515" t="s">
        <v>59</v>
      </c>
      <c r="L346" s="521">
        <v>6.95</v>
      </c>
      <c r="M346" s="520" t="s">
        <v>60</v>
      </c>
    </row>
    <row r="347" spans="1:13">
      <c r="A347" s="525" t="s">
        <v>430</v>
      </c>
      <c r="B347" s="520" t="s">
        <v>431</v>
      </c>
      <c r="C347" s="528" t="s">
        <v>485</v>
      </c>
      <c r="D347" s="519">
        <v>12500170</v>
      </c>
      <c r="E347" s="522" t="s">
        <v>200</v>
      </c>
      <c r="F347" s="536" t="s">
        <v>486</v>
      </c>
      <c r="G347" s="523" t="s">
        <v>468</v>
      </c>
      <c r="H347" s="522" t="s">
        <v>56</v>
      </c>
      <c r="I347" s="533" t="s">
        <v>57</v>
      </c>
      <c r="J347" s="522" t="s">
        <v>58</v>
      </c>
      <c r="K347" s="515" t="s">
        <v>59</v>
      </c>
      <c r="L347" s="521">
        <v>6.95</v>
      </c>
      <c r="M347" s="520" t="s">
        <v>60</v>
      </c>
    </row>
    <row r="348" spans="1:13">
      <c r="A348" s="525" t="s">
        <v>430</v>
      </c>
      <c r="B348" s="520" t="s">
        <v>431</v>
      </c>
      <c r="C348" s="528">
        <v>5035</v>
      </c>
      <c r="D348" s="519">
        <v>12500170</v>
      </c>
      <c r="E348" s="519" t="s">
        <v>53</v>
      </c>
      <c r="F348" s="536" t="s">
        <v>487</v>
      </c>
      <c r="G348" s="523" t="s">
        <v>468</v>
      </c>
      <c r="H348" s="522" t="s">
        <v>56</v>
      </c>
      <c r="I348" s="533" t="s">
        <v>57</v>
      </c>
      <c r="J348" s="522" t="s">
        <v>58</v>
      </c>
      <c r="K348" s="515" t="s">
        <v>59</v>
      </c>
      <c r="L348" s="521">
        <v>6.95</v>
      </c>
      <c r="M348" s="520" t="s">
        <v>60</v>
      </c>
    </row>
    <row r="349" spans="1:13">
      <c r="A349" s="525" t="s">
        <v>430</v>
      </c>
      <c r="B349" s="520" t="s">
        <v>431</v>
      </c>
      <c r="C349" s="528" t="s">
        <v>488</v>
      </c>
      <c r="D349" s="519">
        <v>12500170</v>
      </c>
      <c r="E349" s="522" t="s">
        <v>200</v>
      </c>
      <c r="F349" s="536" t="s">
        <v>487</v>
      </c>
      <c r="G349" s="523" t="s">
        <v>468</v>
      </c>
      <c r="H349" s="522" t="s">
        <v>56</v>
      </c>
      <c r="I349" s="533" t="s">
        <v>57</v>
      </c>
      <c r="J349" s="522" t="s">
        <v>58</v>
      </c>
      <c r="K349" s="515" t="s">
        <v>59</v>
      </c>
      <c r="L349" s="521">
        <v>6.95</v>
      </c>
      <c r="M349" s="520" t="s">
        <v>60</v>
      </c>
    </row>
    <row r="350" spans="1:13">
      <c r="A350" s="525" t="s">
        <v>430</v>
      </c>
      <c r="B350" s="520" t="s">
        <v>431</v>
      </c>
      <c r="C350" s="528">
        <v>5036</v>
      </c>
      <c r="D350" s="519">
        <v>12500170</v>
      </c>
      <c r="E350" s="519" t="s">
        <v>53</v>
      </c>
      <c r="F350" s="536" t="s">
        <v>489</v>
      </c>
      <c r="G350" s="523" t="s">
        <v>468</v>
      </c>
      <c r="H350" s="522" t="s">
        <v>56</v>
      </c>
      <c r="I350" s="533" t="s">
        <v>57</v>
      </c>
      <c r="J350" s="522" t="s">
        <v>58</v>
      </c>
      <c r="K350" s="515" t="s">
        <v>59</v>
      </c>
      <c r="L350" s="521">
        <v>6.95</v>
      </c>
      <c r="M350" s="520" t="s">
        <v>60</v>
      </c>
    </row>
    <row r="351" spans="1:13">
      <c r="A351" s="525" t="s">
        <v>430</v>
      </c>
      <c r="B351" s="520" t="s">
        <v>431</v>
      </c>
      <c r="C351" s="528">
        <v>5301</v>
      </c>
      <c r="D351" s="519">
        <v>12500170</v>
      </c>
      <c r="E351" s="519" t="s">
        <v>53</v>
      </c>
      <c r="F351" s="536" t="s">
        <v>490</v>
      </c>
      <c r="G351" s="523" t="s">
        <v>468</v>
      </c>
      <c r="H351" s="522" t="s">
        <v>56</v>
      </c>
      <c r="I351" s="533" t="s">
        <v>57</v>
      </c>
      <c r="J351" s="522" t="s">
        <v>58</v>
      </c>
      <c r="K351" s="515" t="s">
        <v>59</v>
      </c>
      <c r="L351" s="521">
        <v>6.95</v>
      </c>
      <c r="M351" s="520" t="s">
        <v>60</v>
      </c>
    </row>
    <row r="352" spans="1:13">
      <c r="A352" s="525" t="s">
        <v>430</v>
      </c>
      <c r="B352" s="520" t="s">
        <v>431</v>
      </c>
      <c r="C352" s="526" t="s">
        <v>491</v>
      </c>
      <c r="D352" s="519" t="s">
        <v>1058</v>
      </c>
      <c r="E352" s="522" t="s">
        <v>200</v>
      </c>
      <c r="F352" s="534" t="s">
        <v>482</v>
      </c>
      <c r="G352" s="523" t="s">
        <v>498</v>
      </c>
      <c r="H352" s="522" t="s">
        <v>56</v>
      </c>
      <c r="I352" s="533" t="s">
        <v>57</v>
      </c>
      <c r="J352" s="522" t="s">
        <v>58</v>
      </c>
      <c r="K352" s="515" t="s">
        <v>59</v>
      </c>
      <c r="L352" s="521">
        <v>7.6</v>
      </c>
      <c r="M352" s="520" t="s">
        <v>60</v>
      </c>
    </row>
    <row r="353" spans="1:13">
      <c r="A353" s="525" t="s">
        <v>430</v>
      </c>
      <c r="B353" s="520" t="s">
        <v>431</v>
      </c>
      <c r="C353" s="528">
        <v>5304</v>
      </c>
      <c r="D353" s="519">
        <v>12500170</v>
      </c>
      <c r="E353" s="519" t="s">
        <v>53</v>
      </c>
      <c r="F353" s="536" t="s">
        <v>492</v>
      </c>
      <c r="G353" s="523" t="s">
        <v>468</v>
      </c>
      <c r="H353" s="522" t="s">
        <v>56</v>
      </c>
      <c r="I353" s="533" t="s">
        <v>57</v>
      </c>
      <c r="J353" s="522" t="s">
        <v>58</v>
      </c>
      <c r="K353" s="515" t="s">
        <v>59</v>
      </c>
      <c r="L353" s="521">
        <v>6.95</v>
      </c>
      <c r="M353" s="520" t="s">
        <v>60</v>
      </c>
    </row>
    <row r="354" spans="1:13">
      <c r="A354" s="525" t="s">
        <v>430</v>
      </c>
      <c r="B354" s="520" t="s">
        <v>431</v>
      </c>
      <c r="C354" s="528" t="s">
        <v>493</v>
      </c>
      <c r="D354" s="519" t="s">
        <v>1058</v>
      </c>
      <c r="E354" s="522" t="s">
        <v>200</v>
      </c>
      <c r="F354" s="536" t="s">
        <v>494</v>
      </c>
      <c r="G354" s="523" t="s">
        <v>498</v>
      </c>
      <c r="H354" s="522" t="s">
        <v>56</v>
      </c>
      <c r="I354" s="533" t="s">
        <v>57</v>
      </c>
      <c r="J354" s="522" t="s">
        <v>58</v>
      </c>
      <c r="K354" s="515" t="s">
        <v>59</v>
      </c>
      <c r="L354" s="521">
        <v>7.6</v>
      </c>
      <c r="M354" s="520" t="s">
        <v>60</v>
      </c>
    </row>
    <row r="355" spans="1:13">
      <c r="A355" s="525" t="s">
        <v>430</v>
      </c>
      <c r="B355" s="520" t="s">
        <v>431</v>
      </c>
      <c r="C355" s="528">
        <v>5305</v>
      </c>
      <c r="D355" s="519">
        <v>12500170</v>
      </c>
      <c r="E355" s="519" t="s">
        <v>53</v>
      </c>
      <c r="F355" s="536" t="s">
        <v>495</v>
      </c>
      <c r="G355" s="523" t="s">
        <v>468</v>
      </c>
      <c r="H355" s="522" t="s">
        <v>56</v>
      </c>
      <c r="I355" s="533" t="s">
        <v>57</v>
      </c>
      <c r="J355" s="522" t="s">
        <v>58</v>
      </c>
      <c r="K355" s="515" t="s">
        <v>59</v>
      </c>
      <c r="L355" s="521">
        <v>6.95</v>
      </c>
      <c r="M355" s="520" t="s">
        <v>60</v>
      </c>
    </row>
    <row r="356" spans="1:13">
      <c r="A356" s="525" t="s">
        <v>430</v>
      </c>
      <c r="B356" s="520" t="s">
        <v>431</v>
      </c>
      <c r="C356" s="528">
        <v>5321</v>
      </c>
      <c r="D356" s="519">
        <v>12500170</v>
      </c>
      <c r="E356" s="519" t="s">
        <v>53</v>
      </c>
      <c r="F356" s="536" t="s">
        <v>496</v>
      </c>
      <c r="G356" s="523" t="s">
        <v>468</v>
      </c>
      <c r="H356" s="522" t="s">
        <v>56</v>
      </c>
      <c r="I356" s="533" t="s">
        <v>57</v>
      </c>
      <c r="J356" s="522" t="s">
        <v>58</v>
      </c>
      <c r="K356" s="515" t="s">
        <v>59</v>
      </c>
      <c r="L356" s="521">
        <v>6.95</v>
      </c>
      <c r="M356" s="520" t="s">
        <v>60</v>
      </c>
    </row>
    <row r="357" spans="1:13">
      <c r="A357" s="525" t="s">
        <v>430</v>
      </c>
      <c r="B357" s="520" t="s">
        <v>431</v>
      </c>
      <c r="C357" s="528">
        <v>5323</v>
      </c>
      <c r="D357" s="519">
        <v>12500170</v>
      </c>
      <c r="E357" s="519" t="s">
        <v>53</v>
      </c>
      <c r="F357" s="536" t="s">
        <v>481</v>
      </c>
      <c r="G357" s="523" t="s">
        <v>468</v>
      </c>
      <c r="H357" s="522" t="s">
        <v>56</v>
      </c>
      <c r="I357" s="533" t="s">
        <v>57</v>
      </c>
      <c r="J357" s="522" t="s">
        <v>58</v>
      </c>
      <c r="K357" s="515" t="s">
        <v>59</v>
      </c>
      <c r="L357" s="521">
        <v>6.95</v>
      </c>
      <c r="M357" s="520" t="s">
        <v>60</v>
      </c>
    </row>
    <row r="358" spans="1:13">
      <c r="A358" s="525" t="s">
        <v>430</v>
      </c>
      <c r="B358" s="520" t="s">
        <v>431</v>
      </c>
      <c r="C358" s="528">
        <v>5006</v>
      </c>
      <c r="D358" s="519">
        <v>12500370</v>
      </c>
      <c r="E358" s="519" t="s">
        <v>53</v>
      </c>
      <c r="F358" s="536" t="s">
        <v>497</v>
      </c>
      <c r="G358" s="523" t="s">
        <v>498</v>
      </c>
      <c r="H358" s="522" t="s">
        <v>56</v>
      </c>
      <c r="I358" s="533" t="s">
        <v>57</v>
      </c>
      <c r="J358" s="522" t="s">
        <v>58</v>
      </c>
      <c r="K358" s="515" t="s">
        <v>59</v>
      </c>
      <c r="L358" s="521">
        <v>7.6</v>
      </c>
      <c r="M358" s="520" t="s">
        <v>60</v>
      </c>
    </row>
    <row r="359" spans="1:13">
      <c r="A359" s="525" t="s">
        <v>430</v>
      </c>
      <c r="B359" s="520" t="s">
        <v>431</v>
      </c>
      <c r="C359" s="528">
        <v>5007</v>
      </c>
      <c r="D359" s="519">
        <v>12500370</v>
      </c>
      <c r="E359" s="519" t="s">
        <v>53</v>
      </c>
      <c r="F359" s="536" t="s">
        <v>499</v>
      </c>
      <c r="G359" s="523" t="s">
        <v>498</v>
      </c>
      <c r="H359" s="522" t="s">
        <v>56</v>
      </c>
      <c r="I359" s="533" t="s">
        <v>57</v>
      </c>
      <c r="J359" s="522" t="s">
        <v>58</v>
      </c>
      <c r="K359" s="515" t="s">
        <v>59</v>
      </c>
      <c r="L359" s="521">
        <v>7.6</v>
      </c>
      <c r="M359" s="520" t="s">
        <v>60</v>
      </c>
    </row>
    <row r="360" spans="1:13">
      <c r="A360" s="525" t="s">
        <v>430</v>
      </c>
      <c r="B360" s="520" t="s">
        <v>431</v>
      </c>
      <c r="C360" s="528" t="s">
        <v>500</v>
      </c>
      <c r="D360" s="519">
        <v>12500370</v>
      </c>
      <c r="E360" s="522" t="s">
        <v>200</v>
      </c>
      <c r="F360" s="536" t="s">
        <v>501</v>
      </c>
      <c r="G360" s="523" t="s">
        <v>498</v>
      </c>
      <c r="H360" s="522" t="s">
        <v>56</v>
      </c>
      <c r="I360" s="533" t="s">
        <v>57</v>
      </c>
      <c r="J360" s="522" t="s">
        <v>58</v>
      </c>
      <c r="K360" s="515" t="s">
        <v>59</v>
      </c>
      <c r="L360" s="521">
        <v>7.6</v>
      </c>
      <c r="M360" s="520" t="s">
        <v>60</v>
      </c>
    </row>
    <row r="361" spans="1:13">
      <c r="A361" s="525" t="s">
        <v>430</v>
      </c>
      <c r="B361" s="520" t="s">
        <v>431</v>
      </c>
      <c r="C361" s="528">
        <v>5008</v>
      </c>
      <c r="D361" s="519">
        <v>12500370</v>
      </c>
      <c r="E361" s="519" t="s">
        <v>53</v>
      </c>
      <c r="F361" s="536" t="s">
        <v>502</v>
      </c>
      <c r="G361" s="523" t="s">
        <v>498</v>
      </c>
      <c r="H361" s="522" t="s">
        <v>56</v>
      </c>
      <c r="I361" s="533" t="s">
        <v>57</v>
      </c>
      <c r="J361" s="522" t="s">
        <v>58</v>
      </c>
      <c r="K361" s="515" t="s">
        <v>59</v>
      </c>
      <c r="L361" s="521">
        <v>7.6</v>
      </c>
      <c r="M361" s="520" t="s">
        <v>60</v>
      </c>
    </row>
    <row r="362" spans="1:13">
      <c r="A362" s="525" t="s">
        <v>430</v>
      </c>
      <c r="B362" s="520" t="s">
        <v>431</v>
      </c>
      <c r="C362" s="528">
        <v>5009</v>
      </c>
      <c r="D362" s="519">
        <v>12500370</v>
      </c>
      <c r="E362" s="519" t="s">
        <v>53</v>
      </c>
      <c r="F362" s="536" t="s">
        <v>503</v>
      </c>
      <c r="G362" s="523" t="s">
        <v>498</v>
      </c>
      <c r="H362" s="522" t="s">
        <v>56</v>
      </c>
      <c r="I362" s="533" t="s">
        <v>57</v>
      </c>
      <c r="J362" s="522" t="s">
        <v>58</v>
      </c>
      <c r="K362" s="515" t="s">
        <v>59</v>
      </c>
      <c r="L362" s="521">
        <v>7.6</v>
      </c>
      <c r="M362" s="520" t="s">
        <v>60</v>
      </c>
    </row>
    <row r="363" spans="1:13">
      <c r="A363" s="525" t="s">
        <v>430</v>
      </c>
      <c r="B363" s="520" t="s">
        <v>431</v>
      </c>
      <c r="C363" s="528" t="s">
        <v>504</v>
      </c>
      <c r="D363" s="519">
        <v>12500370</v>
      </c>
      <c r="E363" s="522" t="s">
        <v>200</v>
      </c>
      <c r="F363" s="536" t="s">
        <v>505</v>
      </c>
      <c r="G363" s="523" t="s">
        <v>498</v>
      </c>
      <c r="H363" s="522" t="s">
        <v>56</v>
      </c>
      <c r="I363" s="533" t="s">
        <v>57</v>
      </c>
      <c r="J363" s="522" t="s">
        <v>58</v>
      </c>
      <c r="K363" s="515" t="s">
        <v>59</v>
      </c>
      <c r="L363" s="521">
        <v>7.6</v>
      </c>
      <c r="M363" s="520" t="s">
        <v>60</v>
      </c>
    </row>
    <row r="364" spans="1:13">
      <c r="A364" s="525" t="s">
        <v>430</v>
      </c>
      <c r="B364" s="520" t="s">
        <v>431</v>
      </c>
      <c r="C364" s="528">
        <v>5011</v>
      </c>
      <c r="D364" s="519">
        <v>12500370</v>
      </c>
      <c r="E364" s="519" t="s">
        <v>53</v>
      </c>
      <c r="F364" s="536" t="s">
        <v>506</v>
      </c>
      <c r="G364" s="523" t="s">
        <v>498</v>
      </c>
      <c r="H364" s="522" t="s">
        <v>56</v>
      </c>
      <c r="I364" s="533" t="s">
        <v>57</v>
      </c>
      <c r="J364" s="522" t="s">
        <v>58</v>
      </c>
      <c r="K364" s="515" t="s">
        <v>59</v>
      </c>
      <c r="L364" s="521">
        <v>7.6</v>
      </c>
      <c r="M364" s="520" t="s">
        <v>60</v>
      </c>
    </row>
    <row r="365" spans="1:13">
      <c r="A365" s="525" t="s">
        <v>430</v>
      </c>
      <c r="B365" s="520" t="s">
        <v>431</v>
      </c>
      <c r="C365" s="528" t="s">
        <v>507</v>
      </c>
      <c r="D365" s="519">
        <v>12500370</v>
      </c>
      <c r="E365" s="522" t="s">
        <v>200</v>
      </c>
      <c r="F365" s="536" t="s">
        <v>508</v>
      </c>
      <c r="G365" s="523" t="s">
        <v>498</v>
      </c>
      <c r="H365" s="522" t="s">
        <v>56</v>
      </c>
      <c r="I365" s="533" t="s">
        <v>57</v>
      </c>
      <c r="J365" s="522" t="s">
        <v>58</v>
      </c>
      <c r="K365" s="515" t="s">
        <v>59</v>
      </c>
      <c r="L365" s="521">
        <v>7.6</v>
      </c>
      <c r="M365" s="520" t="s">
        <v>60</v>
      </c>
    </row>
    <row r="366" spans="1:13">
      <c r="A366" s="525" t="s">
        <v>430</v>
      </c>
      <c r="B366" s="520" t="s">
        <v>431</v>
      </c>
      <c r="C366" s="528">
        <v>5013</v>
      </c>
      <c r="D366" s="519">
        <v>12500370</v>
      </c>
      <c r="E366" s="519" t="s">
        <v>53</v>
      </c>
      <c r="F366" s="536" t="s">
        <v>509</v>
      </c>
      <c r="G366" s="523" t="s">
        <v>498</v>
      </c>
      <c r="H366" s="522" t="s">
        <v>56</v>
      </c>
      <c r="I366" s="533" t="s">
        <v>57</v>
      </c>
      <c r="J366" s="522" t="s">
        <v>58</v>
      </c>
      <c r="K366" s="515" t="s">
        <v>59</v>
      </c>
      <c r="L366" s="521">
        <v>7.6</v>
      </c>
      <c r="M366" s="520" t="s">
        <v>60</v>
      </c>
    </row>
    <row r="367" spans="1:13">
      <c r="A367" s="525" t="s">
        <v>430</v>
      </c>
      <c r="B367" s="520" t="s">
        <v>431</v>
      </c>
      <c r="C367" s="528">
        <v>5014</v>
      </c>
      <c r="D367" s="519" t="s">
        <v>1058</v>
      </c>
      <c r="E367" s="519" t="s">
        <v>53</v>
      </c>
      <c r="F367" s="536" t="s">
        <v>510</v>
      </c>
      <c r="G367" s="523" t="s">
        <v>498</v>
      </c>
      <c r="H367" s="522" t="s">
        <v>56</v>
      </c>
      <c r="I367" s="533" t="s">
        <v>57</v>
      </c>
      <c r="J367" s="522" t="s">
        <v>58</v>
      </c>
      <c r="K367" s="515" t="s">
        <v>59</v>
      </c>
      <c r="L367" s="521">
        <v>7.6</v>
      </c>
      <c r="M367" s="520" t="s">
        <v>60</v>
      </c>
    </row>
    <row r="368" spans="1:13">
      <c r="A368" s="525" t="s">
        <v>430</v>
      </c>
      <c r="B368" s="520" t="s">
        <v>431</v>
      </c>
      <c r="C368" s="528" t="s">
        <v>511</v>
      </c>
      <c r="D368" s="519">
        <v>12500370</v>
      </c>
      <c r="E368" s="522" t="s">
        <v>200</v>
      </c>
      <c r="F368" s="536" t="s">
        <v>510</v>
      </c>
      <c r="G368" s="523" t="s">
        <v>498</v>
      </c>
      <c r="H368" s="522" t="s">
        <v>56</v>
      </c>
      <c r="I368" s="533" t="s">
        <v>57</v>
      </c>
      <c r="J368" s="522" t="s">
        <v>58</v>
      </c>
      <c r="K368" s="515" t="s">
        <v>59</v>
      </c>
      <c r="L368" s="521">
        <v>7.6</v>
      </c>
      <c r="M368" s="520" t="s">
        <v>60</v>
      </c>
    </row>
    <row r="369" spans="1:13">
      <c r="A369" s="525" t="s">
        <v>430</v>
      </c>
      <c r="B369" s="520" t="s">
        <v>431</v>
      </c>
      <c r="C369" s="528" t="s">
        <v>512</v>
      </c>
      <c r="D369" s="519">
        <v>12500370</v>
      </c>
      <c r="E369" s="522" t="s">
        <v>200</v>
      </c>
      <c r="F369" s="536" t="s">
        <v>513</v>
      </c>
      <c r="G369" s="523" t="s">
        <v>498</v>
      </c>
      <c r="H369" s="522" t="s">
        <v>56</v>
      </c>
      <c r="I369" s="533" t="s">
        <v>57</v>
      </c>
      <c r="J369" s="522" t="s">
        <v>58</v>
      </c>
      <c r="K369" s="515" t="s">
        <v>59</v>
      </c>
      <c r="L369" s="521">
        <v>7.6</v>
      </c>
      <c r="M369" s="520" t="s">
        <v>60</v>
      </c>
    </row>
    <row r="370" spans="1:13">
      <c r="A370" s="525" t="s">
        <v>430</v>
      </c>
      <c r="B370" s="520" t="s">
        <v>431</v>
      </c>
      <c r="C370" s="528">
        <v>5019</v>
      </c>
      <c r="D370" s="519">
        <v>12500370</v>
      </c>
      <c r="E370" s="519" t="s">
        <v>53</v>
      </c>
      <c r="F370" s="536" t="s">
        <v>514</v>
      </c>
      <c r="G370" s="523" t="s">
        <v>498</v>
      </c>
      <c r="H370" s="522" t="s">
        <v>56</v>
      </c>
      <c r="I370" s="533" t="s">
        <v>57</v>
      </c>
      <c r="J370" s="522" t="s">
        <v>58</v>
      </c>
      <c r="K370" s="515" t="s">
        <v>59</v>
      </c>
      <c r="L370" s="521">
        <v>7.6</v>
      </c>
      <c r="M370" s="520" t="s">
        <v>60</v>
      </c>
    </row>
    <row r="371" spans="1:13">
      <c r="A371" s="525" t="s">
        <v>430</v>
      </c>
      <c r="B371" s="520" t="s">
        <v>431</v>
      </c>
      <c r="C371" s="528" t="s">
        <v>515</v>
      </c>
      <c r="D371" s="519">
        <v>12500370</v>
      </c>
      <c r="E371" s="522" t="s">
        <v>200</v>
      </c>
      <c r="F371" s="536" t="s">
        <v>516</v>
      </c>
      <c r="G371" s="523" t="s">
        <v>498</v>
      </c>
      <c r="H371" s="522" t="s">
        <v>56</v>
      </c>
      <c r="I371" s="533" t="s">
        <v>57</v>
      </c>
      <c r="J371" s="522" t="s">
        <v>58</v>
      </c>
      <c r="K371" s="515" t="s">
        <v>59</v>
      </c>
      <c r="L371" s="521">
        <v>7.6</v>
      </c>
      <c r="M371" s="520" t="s">
        <v>60</v>
      </c>
    </row>
    <row r="372" spans="1:13">
      <c r="A372" s="525" t="s">
        <v>430</v>
      </c>
      <c r="B372" s="520" t="s">
        <v>431</v>
      </c>
      <c r="C372" s="528">
        <v>5021</v>
      </c>
      <c r="D372" s="519">
        <v>12500370</v>
      </c>
      <c r="E372" s="519" t="s">
        <v>53</v>
      </c>
      <c r="F372" s="536" t="s">
        <v>517</v>
      </c>
      <c r="G372" s="523" t="s">
        <v>498</v>
      </c>
      <c r="H372" s="522" t="s">
        <v>56</v>
      </c>
      <c r="I372" s="533" t="s">
        <v>57</v>
      </c>
      <c r="J372" s="522" t="s">
        <v>58</v>
      </c>
      <c r="K372" s="515" t="s">
        <v>59</v>
      </c>
      <c r="L372" s="521">
        <v>7.6</v>
      </c>
      <c r="M372" s="520" t="s">
        <v>60</v>
      </c>
    </row>
    <row r="373" spans="1:13">
      <c r="A373" s="525" t="s">
        <v>430</v>
      </c>
      <c r="B373" s="520" t="s">
        <v>431</v>
      </c>
      <c r="C373" s="528" t="s">
        <v>518</v>
      </c>
      <c r="D373" s="519">
        <v>12500370</v>
      </c>
      <c r="E373" s="522" t="s">
        <v>200</v>
      </c>
      <c r="F373" s="536" t="s">
        <v>519</v>
      </c>
      <c r="G373" s="523" t="s">
        <v>498</v>
      </c>
      <c r="H373" s="522" t="s">
        <v>56</v>
      </c>
      <c r="I373" s="533" t="s">
        <v>57</v>
      </c>
      <c r="J373" s="522" t="s">
        <v>58</v>
      </c>
      <c r="K373" s="515" t="s">
        <v>59</v>
      </c>
      <c r="L373" s="521">
        <v>7.6</v>
      </c>
      <c r="M373" s="520" t="s">
        <v>60</v>
      </c>
    </row>
    <row r="374" spans="1:13">
      <c r="A374" s="525" t="s">
        <v>430</v>
      </c>
      <c r="B374" s="520" t="s">
        <v>431</v>
      </c>
      <c r="C374" s="528">
        <v>5069</v>
      </c>
      <c r="D374" s="519">
        <v>12500370</v>
      </c>
      <c r="E374" s="519" t="s">
        <v>53</v>
      </c>
      <c r="F374" s="536" t="s">
        <v>520</v>
      </c>
      <c r="G374" s="523" t="s">
        <v>498</v>
      </c>
      <c r="H374" s="522" t="s">
        <v>56</v>
      </c>
      <c r="I374" s="533" t="s">
        <v>57</v>
      </c>
      <c r="J374" s="522" t="s">
        <v>58</v>
      </c>
      <c r="K374" s="515" t="s">
        <v>59</v>
      </c>
      <c r="L374" s="521">
        <v>7.6</v>
      </c>
      <c r="M374" s="520" t="s">
        <v>60</v>
      </c>
    </row>
    <row r="375" spans="1:13">
      <c r="A375" s="525" t="s">
        <v>430</v>
      </c>
      <c r="B375" s="520" t="s">
        <v>431</v>
      </c>
      <c r="C375" s="528" t="s">
        <v>521</v>
      </c>
      <c r="D375" s="519">
        <v>12500370</v>
      </c>
      <c r="E375" s="522" t="s">
        <v>200</v>
      </c>
      <c r="F375" s="536" t="s">
        <v>520</v>
      </c>
      <c r="G375" s="523" t="s">
        <v>498</v>
      </c>
      <c r="H375" s="522" t="s">
        <v>56</v>
      </c>
      <c r="I375" s="533" t="s">
        <v>57</v>
      </c>
      <c r="J375" s="522" t="s">
        <v>58</v>
      </c>
      <c r="K375" s="515" t="s">
        <v>59</v>
      </c>
      <c r="L375" s="521">
        <v>7.6</v>
      </c>
      <c r="M375" s="520" t="s">
        <v>60</v>
      </c>
    </row>
    <row r="376" spans="1:13">
      <c r="A376" s="525" t="s">
        <v>430</v>
      </c>
      <c r="B376" s="520" t="s">
        <v>431</v>
      </c>
      <c r="C376" s="528">
        <v>5070</v>
      </c>
      <c r="D376" s="519">
        <v>12500370</v>
      </c>
      <c r="E376" s="519" t="s">
        <v>53</v>
      </c>
      <c r="F376" s="536" t="s">
        <v>522</v>
      </c>
      <c r="G376" s="523" t="s">
        <v>498</v>
      </c>
      <c r="H376" s="522" t="s">
        <v>56</v>
      </c>
      <c r="I376" s="533" t="s">
        <v>57</v>
      </c>
      <c r="J376" s="522" t="s">
        <v>58</v>
      </c>
      <c r="K376" s="515" t="s">
        <v>59</v>
      </c>
      <c r="L376" s="521">
        <v>7.6</v>
      </c>
      <c r="M376" s="520" t="s">
        <v>60</v>
      </c>
    </row>
    <row r="377" spans="1:13">
      <c r="A377" s="525" t="s">
        <v>430</v>
      </c>
      <c r="B377" s="520" t="s">
        <v>431</v>
      </c>
      <c r="C377" s="528">
        <v>5037</v>
      </c>
      <c r="D377" s="519">
        <v>12500370</v>
      </c>
      <c r="E377" s="519" t="s">
        <v>53</v>
      </c>
      <c r="F377" s="536" t="s">
        <v>523</v>
      </c>
      <c r="G377" s="523" t="s">
        <v>498</v>
      </c>
      <c r="H377" s="522" t="s">
        <v>56</v>
      </c>
      <c r="I377" s="533" t="s">
        <v>57</v>
      </c>
      <c r="J377" s="522" t="s">
        <v>58</v>
      </c>
      <c r="K377" s="515" t="s">
        <v>59</v>
      </c>
      <c r="L377" s="521">
        <v>7.6</v>
      </c>
      <c r="M377" s="520" t="s">
        <v>60</v>
      </c>
    </row>
    <row r="378" spans="1:13">
      <c r="A378" s="525" t="s">
        <v>430</v>
      </c>
      <c r="B378" s="520" t="s">
        <v>431</v>
      </c>
      <c r="C378" s="528" t="s">
        <v>524</v>
      </c>
      <c r="D378" s="519">
        <v>12500370</v>
      </c>
      <c r="E378" s="522" t="s">
        <v>200</v>
      </c>
      <c r="F378" s="536" t="s">
        <v>525</v>
      </c>
      <c r="G378" s="523" t="s">
        <v>498</v>
      </c>
      <c r="H378" s="522" t="s">
        <v>56</v>
      </c>
      <c r="I378" s="533" t="s">
        <v>57</v>
      </c>
      <c r="J378" s="522" t="s">
        <v>58</v>
      </c>
      <c r="K378" s="515" t="s">
        <v>59</v>
      </c>
      <c r="L378" s="521">
        <v>7.6</v>
      </c>
      <c r="M378" s="520" t="s">
        <v>60</v>
      </c>
    </row>
    <row r="379" spans="1:13">
      <c r="A379" s="525" t="s">
        <v>430</v>
      </c>
      <c r="B379" s="520" t="s">
        <v>431</v>
      </c>
      <c r="C379" s="528">
        <v>5038</v>
      </c>
      <c r="D379" s="519">
        <v>12500370</v>
      </c>
      <c r="E379" s="519" t="s">
        <v>53</v>
      </c>
      <c r="F379" s="536" t="s">
        <v>526</v>
      </c>
      <c r="G379" s="523" t="s">
        <v>498</v>
      </c>
      <c r="H379" s="522" t="s">
        <v>56</v>
      </c>
      <c r="I379" s="533" t="s">
        <v>57</v>
      </c>
      <c r="J379" s="522" t="s">
        <v>58</v>
      </c>
      <c r="K379" s="515" t="s">
        <v>59</v>
      </c>
      <c r="L379" s="521">
        <v>7.6</v>
      </c>
      <c r="M379" s="520" t="s">
        <v>60</v>
      </c>
    </row>
    <row r="380" spans="1:13">
      <c r="A380" s="525" t="s">
        <v>430</v>
      </c>
      <c r="B380" s="520" t="s">
        <v>431</v>
      </c>
      <c r="C380" s="528">
        <v>5039</v>
      </c>
      <c r="D380" s="519">
        <v>12500370</v>
      </c>
      <c r="E380" s="519" t="s">
        <v>53</v>
      </c>
      <c r="F380" s="536" t="s">
        <v>527</v>
      </c>
      <c r="G380" s="523" t="s">
        <v>498</v>
      </c>
      <c r="H380" s="522" t="s">
        <v>56</v>
      </c>
      <c r="I380" s="533" t="s">
        <v>57</v>
      </c>
      <c r="J380" s="522" t="s">
        <v>58</v>
      </c>
      <c r="K380" s="515" t="s">
        <v>59</v>
      </c>
      <c r="L380" s="521">
        <v>7.6</v>
      </c>
      <c r="M380" s="520" t="s">
        <v>60</v>
      </c>
    </row>
    <row r="381" spans="1:13">
      <c r="A381" s="525" t="s">
        <v>430</v>
      </c>
      <c r="B381" s="520" t="s">
        <v>431</v>
      </c>
      <c r="C381" s="528" t="s">
        <v>528</v>
      </c>
      <c r="D381" s="519">
        <v>12500370</v>
      </c>
      <c r="E381" s="522" t="s">
        <v>200</v>
      </c>
      <c r="F381" s="536" t="s">
        <v>529</v>
      </c>
      <c r="G381" s="523" t="s">
        <v>498</v>
      </c>
      <c r="H381" s="522" t="s">
        <v>56</v>
      </c>
      <c r="I381" s="533" t="s">
        <v>57</v>
      </c>
      <c r="J381" s="522" t="s">
        <v>58</v>
      </c>
      <c r="K381" s="515" t="s">
        <v>59</v>
      </c>
      <c r="L381" s="521">
        <v>7.6</v>
      </c>
      <c r="M381" s="520" t="s">
        <v>60</v>
      </c>
    </row>
    <row r="382" spans="1:13">
      <c r="A382" s="525" t="s">
        <v>430</v>
      </c>
      <c r="B382" s="520" t="s">
        <v>431</v>
      </c>
      <c r="C382" s="528">
        <v>5041</v>
      </c>
      <c r="D382" s="519">
        <v>12500370</v>
      </c>
      <c r="E382" s="519" t="s">
        <v>53</v>
      </c>
      <c r="F382" s="536" t="s">
        <v>530</v>
      </c>
      <c r="G382" s="523" t="s">
        <v>498</v>
      </c>
      <c r="H382" s="522" t="s">
        <v>56</v>
      </c>
      <c r="I382" s="533" t="s">
        <v>57</v>
      </c>
      <c r="J382" s="522" t="s">
        <v>58</v>
      </c>
      <c r="K382" s="515" t="s">
        <v>59</v>
      </c>
      <c r="L382" s="521">
        <v>7.6</v>
      </c>
      <c r="M382" s="520" t="s">
        <v>60</v>
      </c>
    </row>
    <row r="383" spans="1:13">
      <c r="A383" s="525" t="s">
        <v>430</v>
      </c>
      <c r="B383" s="520" t="s">
        <v>431</v>
      </c>
      <c r="C383" s="528" t="s">
        <v>531</v>
      </c>
      <c r="D383" s="519">
        <v>12500370</v>
      </c>
      <c r="E383" s="522" t="s">
        <v>200</v>
      </c>
      <c r="F383" s="536" t="s">
        <v>530</v>
      </c>
      <c r="G383" s="523" t="s">
        <v>498</v>
      </c>
      <c r="H383" s="522" t="s">
        <v>56</v>
      </c>
      <c r="I383" s="533" t="s">
        <v>57</v>
      </c>
      <c r="J383" s="522" t="s">
        <v>58</v>
      </c>
      <c r="K383" s="515" t="s">
        <v>59</v>
      </c>
      <c r="L383" s="521">
        <v>7.6</v>
      </c>
      <c r="M383" s="520" t="s">
        <v>60</v>
      </c>
    </row>
    <row r="384" spans="1:13">
      <c r="A384" s="525" t="s">
        <v>430</v>
      </c>
      <c r="B384" s="520" t="s">
        <v>431</v>
      </c>
      <c r="C384" s="519" t="s">
        <v>532</v>
      </c>
      <c r="D384" s="519">
        <v>12500370</v>
      </c>
      <c r="E384" s="522" t="s">
        <v>200</v>
      </c>
      <c r="F384" s="518" t="s">
        <v>533</v>
      </c>
      <c r="G384" s="523" t="s">
        <v>498</v>
      </c>
      <c r="H384" s="522" t="s">
        <v>56</v>
      </c>
      <c r="I384" s="533" t="s">
        <v>57</v>
      </c>
      <c r="J384" s="522" t="s">
        <v>58</v>
      </c>
      <c r="K384" s="515" t="s">
        <v>59</v>
      </c>
      <c r="L384" s="521">
        <v>7.6</v>
      </c>
      <c r="M384" s="520" t="s">
        <v>60</v>
      </c>
    </row>
    <row r="385" spans="1:13">
      <c r="A385" s="525" t="s">
        <v>430</v>
      </c>
      <c r="B385" s="520" t="s">
        <v>431</v>
      </c>
      <c r="C385" s="519" t="s">
        <v>534</v>
      </c>
      <c r="D385" s="519">
        <v>12500370</v>
      </c>
      <c r="E385" s="519" t="s">
        <v>53</v>
      </c>
      <c r="F385" s="518" t="s">
        <v>535</v>
      </c>
      <c r="G385" s="523" t="s">
        <v>498</v>
      </c>
      <c r="H385" s="522" t="s">
        <v>56</v>
      </c>
      <c r="I385" s="533" t="s">
        <v>57</v>
      </c>
      <c r="J385" s="522" t="s">
        <v>58</v>
      </c>
      <c r="K385" s="515" t="s">
        <v>59</v>
      </c>
      <c r="L385" s="521">
        <v>7.6</v>
      </c>
      <c r="M385" s="520" t="s">
        <v>60</v>
      </c>
    </row>
    <row r="386" spans="1:13">
      <c r="A386" s="525" t="s">
        <v>430</v>
      </c>
      <c r="B386" s="520" t="s">
        <v>431</v>
      </c>
      <c r="C386" s="519" t="s">
        <v>536</v>
      </c>
      <c r="D386" s="519">
        <v>12500370</v>
      </c>
      <c r="E386" s="522" t="s">
        <v>200</v>
      </c>
      <c r="F386" s="518" t="s">
        <v>537</v>
      </c>
      <c r="G386" s="523" t="s">
        <v>498</v>
      </c>
      <c r="H386" s="522" t="s">
        <v>56</v>
      </c>
      <c r="I386" s="533" t="s">
        <v>57</v>
      </c>
      <c r="J386" s="522" t="s">
        <v>58</v>
      </c>
      <c r="K386" s="515" t="s">
        <v>59</v>
      </c>
      <c r="L386" s="521">
        <v>7.6</v>
      </c>
      <c r="M386" s="520" t="s">
        <v>60</v>
      </c>
    </row>
    <row r="387" spans="1:13">
      <c r="A387" s="525" t="s">
        <v>430</v>
      </c>
      <c r="B387" s="520" t="s">
        <v>431</v>
      </c>
      <c r="C387" s="519">
        <v>5322</v>
      </c>
      <c r="D387" s="519">
        <v>12500370</v>
      </c>
      <c r="E387" s="519" t="s">
        <v>53</v>
      </c>
      <c r="F387" s="518" t="s">
        <v>538</v>
      </c>
      <c r="G387" s="523" t="s">
        <v>498</v>
      </c>
      <c r="H387" s="522" t="s">
        <v>56</v>
      </c>
      <c r="I387" s="533" t="s">
        <v>57</v>
      </c>
      <c r="J387" s="522" t="s">
        <v>58</v>
      </c>
      <c r="K387" s="515" t="s">
        <v>59</v>
      </c>
      <c r="L387" s="521">
        <v>7.6</v>
      </c>
      <c r="M387" s="520" t="s">
        <v>60</v>
      </c>
    </row>
    <row r="388" spans="1:13">
      <c r="A388" s="525" t="s">
        <v>430</v>
      </c>
      <c r="B388" s="520" t="s">
        <v>431</v>
      </c>
      <c r="C388" s="519">
        <v>5324</v>
      </c>
      <c r="D388" s="519">
        <v>12500370</v>
      </c>
      <c r="E388" s="519" t="s">
        <v>53</v>
      </c>
      <c r="F388" s="518" t="s">
        <v>539</v>
      </c>
      <c r="G388" s="523" t="s">
        <v>498</v>
      </c>
      <c r="H388" s="522" t="s">
        <v>56</v>
      </c>
      <c r="I388" s="533" t="s">
        <v>57</v>
      </c>
      <c r="J388" s="522" t="s">
        <v>58</v>
      </c>
      <c r="K388" s="515" t="s">
        <v>59</v>
      </c>
      <c r="L388" s="521">
        <v>7.6</v>
      </c>
      <c r="M388" s="520" t="s">
        <v>60</v>
      </c>
    </row>
    <row r="389" spans="1:13">
      <c r="A389" s="525" t="s">
        <v>430</v>
      </c>
      <c r="B389" s="520" t="s">
        <v>431</v>
      </c>
      <c r="C389" s="519">
        <v>5306</v>
      </c>
      <c r="D389" s="519">
        <v>12500370</v>
      </c>
      <c r="E389" s="519" t="s">
        <v>53</v>
      </c>
      <c r="F389" s="518" t="s">
        <v>540</v>
      </c>
      <c r="G389" s="523" t="s">
        <v>498</v>
      </c>
      <c r="H389" s="522" t="s">
        <v>56</v>
      </c>
      <c r="I389" s="533" t="s">
        <v>57</v>
      </c>
      <c r="J389" s="522" t="s">
        <v>58</v>
      </c>
      <c r="K389" s="515" t="s">
        <v>59</v>
      </c>
      <c r="L389" s="521">
        <v>7.6</v>
      </c>
      <c r="M389" s="520" t="s">
        <v>60</v>
      </c>
    </row>
    <row r="390" spans="1:13">
      <c r="A390" s="525" t="s">
        <v>430</v>
      </c>
      <c r="B390" s="520" t="s">
        <v>431</v>
      </c>
      <c r="C390" s="519">
        <v>5010</v>
      </c>
      <c r="D390" s="519">
        <v>12500370</v>
      </c>
      <c r="E390" s="519" t="s">
        <v>53</v>
      </c>
      <c r="F390" s="518" t="s">
        <v>541</v>
      </c>
      <c r="G390" s="523" t="s">
        <v>498</v>
      </c>
      <c r="H390" s="522" t="s">
        <v>56</v>
      </c>
      <c r="I390" s="533" t="s">
        <v>57</v>
      </c>
      <c r="J390" s="522" t="s">
        <v>58</v>
      </c>
      <c r="K390" s="515" t="s">
        <v>59</v>
      </c>
      <c r="L390" s="521">
        <v>7.6</v>
      </c>
      <c r="M390" s="520" t="s">
        <v>60</v>
      </c>
    </row>
    <row r="391" spans="1:13">
      <c r="A391" s="525" t="s">
        <v>430</v>
      </c>
      <c r="B391" s="520" t="s">
        <v>431</v>
      </c>
      <c r="C391" s="519" t="s">
        <v>542</v>
      </c>
      <c r="D391" s="519">
        <v>12500370</v>
      </c>
      <c r="E391" s="522" t="s">
        <v>200</v>
      </c>
      <c r="F391" s="518" t="s">
        <v>543</v>
      </c>
      <c r="G391" s="523" t="s">
        <v>498</v>
      </c>
      <c r="H391" s="522" t="s">
        <v>56</v>
      </c>
      <c r="I391" s="533" t="s">
        <v>57</v>
      </c>
      <c r="J391" s="522" t="s">
        <v>58</v>
      </c>
      <c r="K391" s="515" t="s">
        <v>59</v>
      </c>
      <c r="L391" s="521">
        <v>7.6</v>
      </c>
      <c r="M391" s="520" t="s">
        <v>60</v>
      </c>
    </row>
    <row r="392" spans="1:13">
      <c r="A392" s="525" t="s">
        <v>430</v>
      </c>
      <c r="B392" s="520" t="s">
        <v>431</v>
      </c>
      <c r="C392" s="519">
        <v>5012</v>
      </c>
      <c r="D392" s="519">
        <v>12500370</v>
      </c>
      <c r="E392" s="519" t="s">
        <v>53</v>
      </c>
      <c r="F392" s="518" t="s">
        <v>544</v>
      </c>
      <c r="G392" s="523" t="s">
        <v>498</v>
      </c>
      <c r="H392" s="522" t="s">
        <v>56</v>
      </c>
      <c r="I392" s="533" t="s">
        <v>57</v>
      </c>
      <c r="J392" s="522" t="s">
        <v>58</v>
      </c>
      <c r="K392" s="515" t="s">
        <v>59</v>
      </c>
      <c r="L392" s="521">
        <v>7.6</v>
      </c>
      <c r="M392" s="520" t="s">
        <v>60</v>
      </c>
    </row>
    <row r="393" spans="1:13">
      <c r="A393" s="525" t="s">
        <v>430</v>
      </c>
      <c r="B393" s="520" t="s">
        <v>431</v>
      </c>
      <c r="C393" s="519">
        <v>5705</v>
      </c>
      <c r="D393" s="519">
        <v>12500570</v>
      </c>
      <c r="E393" s="519" t="s">
        <v>53</v>
      </c>
      <c r="F393" s="518" t="s">
        <v>545</v>
      </c>
      <c r="G393" s="523" t="s">
        <v>498</v>
      </c>
      <c r="H393" s="522" t="s">
        <v>56</v>
      </c>
      <c r="I393" s="533" t="s">
        <v>143</v>
      </c>
      <c r="J393" s="522" t="s">
        <v>58</v>
      </c>
      <c r="K393" s="515" t="s">
        <v>59</v>
      </c>
      <c r="L393" s="521">
        <v>4.9000000000000004</v>
      </c>
      <c r="M393" s="520" t="s">
        <v>60</v>
      </c>
    </row>
    <row r="394" spans="1:13">
      <c r="A394" s="525" t="s">
        <v>430</v>
      </c>
      <c r="B394" s="520" t="s">
        <v>431</v>
      </c>
      <c r="C394" s="519">
        <v>5706</v>
      </c>
      <c r="D394" s="519">
        <v>12500570</v>
      </c>
      <c r="E394" s="519" t="s">
        <v>53</v>
      </c>
      <c r="F394" s="518" t="s">
        <v>546</v>
      </c>
      <c r="G394" s="523" t="s">
        <v>498</v>
      </c>
      <c r="H394" s="522" t="s">
        <v>56</v>
      </c>
      <c r="I394" s="533" t="s">
        <v>143</v>
      </c>
      <c r="J394" s="522" t="s">
        <v>58</v>
      </c>
      <c r="K394" s="515" t="s">
        <v>59</v>
      </c>
      <c r="L394" s="521">
        <v>4.9000000000000004</v>
      </c>
      <c r="M394" s="520" t="s">
        <v>60</v>
      </c>
    </row>
    <row r="395" spans="1:13">
      <c r="A395" s="525" t="s">
        <v>430</v>
      </c>
      <c r="B395" s="520" t="s">
        <v>431</v>
      </c>
      <c r="C395" s="519" t="s">
        <v>547</v>
      </c>
      <c r="D395" s="519">
        <v>12500570</v>
      </c>
      <c r="E395" s="519" t="s">
        <v>53</v>
      </c>
      <c r="F395" s="518" t="s">
        <v>548</v>
      </c>
      <c r="G395" s="523" t="s">
        <v>498</v>
      </c>
      <c r="H395" s="522" t="s">
        <v>56</v>
      </c>
      <c r="I395" s="533" t="s">
        <v>143</v>
      </c>
      <c r="J395" s="522" t="s">
        <v>58</v>
      </c>
      <c r="K395" s="515" t="s">
        <v>59</v>
      </c>
      <c r="L395" s="521">
        <v>4.9000000000000004</v>
      </c>
      <c r="M395" s="520" t="s">
        <v>60</v>
      </c>
    </row>
    <row r="396" spans="1:13">
      <c r="A396" s="525" t="s">
        <v>430</v>
      </c>
      <c r="B396" s="520" t="s">
        <v>431</v>
      </c>
      <c r="C396" s="519" t="s">
        <v>549</v>
      </c>
      <c r="D396" s="519">
        <v>12500570</v>
      </c>
      <c r="E396" s="519" t="s">
        <v>53</v>
      </c>
      <c r="F396" s="518" t="s">
        <v>550</v>
      </c>
      <c r="G396" s="523" t="s">
        <v>498</v>
      </c>
      <c r="H396" s="522" t="s">
        <v>56</v>
      </c>
      <c r="I396" s="533" t="s">
        <v>143</v>
      </c>
      <c r="J396" s="522" t="s">
        <v>58</v>
      </c>
      <c r="K396" s="515" t="s">
        <v>59</v>
      </c>
      <c r="L396" s="521">
        <v>4.9000000000000004</v>
      </c>
      <c r="M396" s="520" t="s">
        <v>60</v>
      </c>
    </row>
    <row r="397" spans="1:13">
      <c r="A397" s="525" t="s">
        <v>430</v>
      </c>
      <c r="B397" s="520" t="s">
        <v>431</v>
      </c>
      <c r="C397" s="519" t="s">
        <v>551</v>
      </c>
      <c r="D397" s="519">
        <v>12500570</v>
      </c>
      <c r="E397" s="519" t="s">
        <v>53</v>
      </c>
      <c r="F397" s="518" t="s">
        <v>552</v>
      </c>
      <c r="G397" s="523" t="s">
        <v>498</v>
      </c>
      <c r="H397" s="522" t="s">
        <v>56</v>
      </c>
      <c r="I397" s="533" t="s">
        <v>143</v>
      </c>
      <c r="J397" s="522" t="s">
        <v>58</v>
      </c>
      <c r="K397" s="515" t="s">
        <v>59</v>
      </c>
      <c r="L397" s="521">
        <v>4.9000000000000004</v>
      </c>
      <c r="M397" s="520" t="s">
        <v>60</v>
      </c>
    </row>
    <row r="398" spans="1:13">
      <c r="A398" s="525" t="s">
        <v>430</v>
      </c>
      <c r="B398" s="520" t="s">
        <v>431</v>
      </c>
      <c r="C398" s="519">
        <v>5720</v>
      </c>
      <c r="D398" s="519">
        <v>12500570</v>
      </c>
      <c r="E398" s="519" t="s">
        <v>53</v>
      </c>
      <c r="F398" s="518" t="s">
        <v>553</v>
      </c>
      <c r="G398" s="523" t="s">
        <v>498</v>
      </c>
      <c r="H398" s="522" t="s">
        <v>56</v>
      </c>
      <c r="I398" s="533" t="s">
        <v>143</v>
      </c>
      <c r="J398" s="522" t="s">
        <v>58</v>
      </c>
      <c r="K398" s="515" t="s">
        <v>59</v>
      </c>
      <c r="L398" s="521">
        <v>4.9000000000000004</v>
      </c>
      <c r="M398" s="520" t="s">
        <v>60</v>
      </c>
    </row>
    <row r="399" spans="1:13">
      <c r="A399" s="525" t="s">
        <v>430</v>
      </c>
      <c r="B399" s="520" t="s">
        <v>431</v>
      </c>
      <c r="C399" s="519">
        <v>5801</v>
      </c>
      <c r="D399" s="519">
        <v>12500770</v>
      </c>
      <c r="E399" s="519" t="s">
        <v>53</v>
      </c>
      <c r="F399" s="518" t="s">
        <v>554</v>
      </c>
      <c r="G399" s="523" t="s">
        <v>498</v>
      </c>
      <c r="H399" s="522" t="s">
        <v>56</v>
      </c>
      <c r="I399" s="533" t="s">
        <v>146</v>
      </c>
      <c r="J399" s="522" t="s">
        <v>58</v>
      </c>
      <c r="K399" s="515" t="s">
        <v>59</v>
      </c>
      <c r="L399" s="521">
        <v>8.85</v>
      </c>
      <c r="M399" s="520" t="s">
        <v>60</v>
      </c>
    </row>
    <row r="400" spans="1:13">
      <c r="A400" s="525" t="s">
        <v>430</v>
      </c>
      <c r="B400" s="520" t="s">
        <v>431</v>
      </c>
      <c r="C400" s="519">
        <v>5821</v>
      </c>
      <c r="D400" s="519">
        <v>12500770</v>
      </c>
      <c r="E400" s="519" t="s">
        <v>53</v>
      </c>
      <c r="F400" s="518" t="s">
        <v>555</v>
      </c>
      <c r="G400" s="523" t="s">
        <v>498</v>
      </c>
      <c r="H400" s="522" t="s">
        <v>56</v>
      </c>
      <c r="I400" s="533" t="s">
        <v>146</v>
      </c>
      <c r="J400" s="522" t="s">
        <v>58</v>
      </c>
      <c r="K400" s="515" t="s">
        <v>59</v>
      </c>
      <c r="L400" s="521">
        <v>8.85</v>
      </c>
      <c r="M400" s="520" t="s">
        <v>60</v>
      </c>
    </row>
    <row r="401" spans="1:13">
      <c r="A401" s="525" t="s">
        <v>430</v>
      </c>
      <c r="B401" s="520" t="s">
        <v>431</v>
      </c>
      <c r="C401" s="519" t="s">
        <v>556</v>
      </c>
      <c r="D401" s="519">
        <v>12500770</v>
      </c>
      <c r="E401" s="519" t="s">
        <v>53</v>
      </c>
      <c r="F401" s="518" t="s">
        <v>557</v>
      </c>
      <c r="G401" s="523" t="s">
        <v>498</v>
      </c>
      <c r="H401" s="522" t="s">
        <v>56</v>
      </c>
      <c r="I401" s="533" t="s">
        <v>146</v>
      </c>
      <c r="J401" s="522" t="s">
        <v>58</v>
      </c>
      <c r="K401" s="515" t="s">
        <v>59</v>
      </c>
      <c r="L401" s="521">
        <v>8.85</v>
      </c>
      <c r="M401" s="520" t="s">
        <v>60</v>
      </c>
    </row>
    <row r="402" spans="1:13">
      <c r="A402" s="525" t="s">
        <v>430</v>
      </c>
      <c r="B402" s="520" t="s">
        <v>431</v>
      </c>
      <c r="C402" s="519">
        <v>5802</v>
      </c>
      <c r="D402" s="519">
        <v>12500770</v>
      </c>
      <c r="E402" s="519" t="s">
        <v>53</v>
      </c>
      <c r="F402" s="518" t="s">
        <v>558</v>
      </c>
      <c r="G402" s="523" t="s">
        <v>498</v>
      </c>
      <c r="H402" s="522" t="s">
        <v>56</v>
      </c>
      <c r="I402" s="533" t="s">
        <v>146</v>
      </c>
      <c r="J402" s="522" t="s">
        <v>58</v>
      </c>
      <c r="K402" s="515" t="s">
        <v>59</v>
      </c>
      <c r="L402" s="521">
        <v>8.85</v>
      </c>
      <c r="M402" s="520" t="s">
        <v>60</v>
      </c>
    </row>
    <row r="403" spans="1:13">
      <c r="A403" s="525" t="s">
        <v>430</v>
      </c>
      <c r="B403" s="520" t="s">
        <v>431</v>
      </c>
      <c r="C403" s="519">
        <v>5800</v>
      </c>
      <c r="D403" s="519">
        <v>12500770</v>
      </c>
      <c r="E403" s="519" t="s">
        <v>53</v>
      </c>
      <c r="F403" s="518" t="s">
        <v>559</v>
      </c>
      <c r="G403" s="523" t="s">
        <v>498</v>
      </c>
      <c r="H403" s="522" t="s">
        <v>56</v>
      </c>
      <c r="I403" s="533" t="s">
        <v>146</v>
      </c>
      <c r="J403" s="522" t="s">
        <v>58</v>
      </c>
      <c r="K403" s="515" t="s">
        <v>59</v>
      </c>
      <c r="L403" s="521">
        <v>8.85</v>
      </c>
      <c r="M403" s="520" t="s">
        <v>60</v>
      </c>
    </row>
    <row r="404" spans="1:13">
      <c r="A404" s="525" t="s">
        <v>430</v>
      </c>
      <c r="B404" s="520" t="s">
        <v>431</v>
      </c>
      <c r="C404" s="519">
        <v>8003</v>
      </c>
      <c r="D404" s="519" t="s">
        <v>560</v>
      </c>
      <c r="E404" s="519" t="s">
        <v>53</v>
      </c>
      <c r="F404" s="518" t="s">
        <v>561</v>
      </c>
      <c r="G404" s="523" t="s">
        <v>562</v>
      </c>
      <c r="H404" s="522" t="s">
        <v>56</v>
      </c>
      <c r="I404" s="533" t="s">
        <v>57</v>
      </c>
      <c r="J404" s="522" t="s">
        <v>58</v>
      </c>
      <c r="K404" s="515" t="s">
        <v>59</v>
      </c>
      <c r="L404" s="521">
        <v>8.4499999999999993</v>
      </c>
      <c r="M404" s="520" t="s">
        <v>60</v>
      </c>
    </row>
    <row r="405" spans="1:13">
      <c r="A405" s="525" t="s">
        <v>430</v>
      </c>
      <c r="B405" s="520" t="s">
        <v>431</v>
      </c>
      <c r="C405" s="519" t="s">
        <v>1244</v>
      </c>
      <c r="D405" s="519" t="s">
        <v>560</v>
      </c>
      <c r="E405" s="519" t="s">
        <v>53</v>
      </c>
      <c r="F405" s="518" t="s">
        <v>1243</v>
      </c>
      <c r="G405" s="523" t="s">
        <v>562</v>
      </c>
      <c r="H405" s="522" t="s">
        <v>56</v>
      </c>
      <c r="I405" s="533" t="s">
        <v>57</v>
      </c>
      <c r="J405" s="522" t="s">
        <v>58</v>
      </c>
      <c r="K405" s="515" t="s">
        <v>59</v>
      </c>
      <c r="L405" s="521">
        <v>8.4499999999999993</v>
      </c>
      <c r="M405" s="520" t="s">
        <v>60</v>
      </c>
    </row>
    <row r="406" spans="1:13">
      <c r="A406" s="525" t="s">
        <v>430</v>
      </c>
      <c r="B406" s="520" t="s">
        <v>431</v>
      </c>
      <c r="C406" s="519" t="s">
        <v>1242</v>
      </c>
      <c r="D406" s="519" t="s">
        <v>560</v>
      </c>
      <c r="E406" s="519" t="s">
        <v>53</v>
      </c>
      <c r="F406" s="518" t="s">
        <v>1241</v>
      </c>
      <c r="G406" s="523" t="s">
        <v>562</v>
      </c>
      <c r="H406" s="522" t="s">
        <v>56</v>
      </c>
      <c r="I406" s="533" t="s">
        <v>57</v>
      </c>
      <c r="J406" s="522" t="s">
        <v>58</v>
      </c>
      <c r="K406" s="515" t="s">
        <v>59</v>
      </c>
      <c r="L406" s="521">
        <v>8.4499999999999993</v>
      </c>
      <c r="M406" s="520" t="s">
        <v>60</v>
      </c>
    </row>
    <row r="407" spans="1:13">
      <c r="A407" s="525" t="s">
        <v>430</v>
      </c>
      <c r="B407" s="520" t="s">
        <v>431</v>
      </c>
      <c r="C407" s="519" t="s">
        <v>1240</v>
      </c>
      <c r="D407" s="519" t="s">
        <v>560</v>
      </c>
      <c r="E407" s="519" t="s">
        <v>53</v>
      </c>
      <c r="F407" s="518" t="s">
        <v>1239</v>
      </c>
      <c r="G407" s="523" t="s">
        <v>562</v>
      </c>
      <c r="H407" s="522" t="s">
        <v>56</v>
      </c>
      <c r="I407" s="533" t="s">
        <v>57</v>
      </c>
      <c r="J407" s="522" t="s">
        <v>58</v>
      </c>
      <c r="K407" s="515" t="s">
        <v>59</v>
      </c>
      <c r="L407" s="521">
        <v>8.4499999999999993</v>
      </c>
      <c r="M407" s="520" t="s">
        <v>60</v>
      </c>
    </row>
    <row r="408" spans="1:13">
      <c r="A408" s="525" t="s">
        <v>430</v>
      </c>
      <c r="B408" s="520" t="s">
        <v>431</v>
      </c>
      <c r="C408" s="519" t="s">
        <v>1238</v>
      </c>
      <c r="D408" s="519" t="s">
        <v>560</v>
      </c>
      <c r="E408" s="519" t="s">
        <v>53</v>
      </c>
      <c r="F408" s="518" t="s">
        <v>1237</v>
      </c>
      <c r="G408" s="523" t="s">
        <v>562</v>
      </c>
      <c r="H408" s="522" t="s">
        <v>56</v>
      </c>
      <c r="I408" s="533" t="s">
        <v>57</v>
      </c>
      <c r="J408" s="522" t="s">
        <v>58</v>
      </c>
      <c r="K408" s="515" t="s">
        <v>59</v>
      </c>
      <c r="L408" s="521">
        <v>8.4499999999999993</v>
      </c>
      <c r="M408" s="520" t="s">
        <v>60</v>
      </c>
    </row>
    <row r="409" spans="1:13">
      <c r="A409" s="525" t="s">
        <v>430</v>
      </c>
      <c r="B409" s="520" t="s">
        <v>431</v>
      </c>
      <c r="C409" s="519">
        <v>8004</v>
      </c>
      <c r="D409" s="519" t="s">
        <v>560</v>
      </c>
      <c r="E409" s="519" t="s">
        <v>53</v>
      </c>
      <c r="F409" s="518" t="s">
        <v>563</v>
      </c>
      <c r="G409" s="523" t="s">
        <v>562</v>
      </c>
      <c r="H409" s="522" t="s">
        <v>56</v>
      </c>
      <c r="I409" s="533" t="s">
        <v>57</v>
      </c>
      <c r="J409" s="522" t="s">
        <v>58</v>
      </c>
      <c r="K409" s="515" t="s">
        <v>59</v>
      </c>
      <c r="L409" s="521">
        <v>8.4499999999999993</v>
      </c>
      <c r="M409" s="520" t="s">
        <v>60</v>
      </c>
    </row>
    <row r="410" spans="1:13">
      <c r="A410" s="525" t="s">
        <v>430</v>
      </c>
      <c r="B410" s="520" t="s">
        <v>431</v>
      </c>
      <c r="C410" s="519" t="s">
        <v>1236</v>
      </c>
      <c r="D410" s="519" t="s">
        <v>560</v>
      </c>
      <c r="E410" s="519" t="s">
        <v>53</v>
      </c>
      <c r="F410" s="518" t="s">
        <v>1235</v>
      </c>
      <c r="G410" s="523" t="s">
        <v>562</v>
      </c>
      <c r="H410" s="522" t="s">
        <v>56</v>
      </c>
      <c r="I410" s="533" t="s">
        <v>57</v>
      </c>
      <c r="J410" s="522" t="s">
        <v>58</v>
      </c>
      <c r="K410" s="515" t="s">
        <v>59</v>
      </c>
      <c r="L410" s="521">
        <v>8.4499999999999993</v>
      </c>
      <c r="M410" s="520" t="s">
        <v>60</v>
      </c>
    </row>
    <row r="411" spans="1:13">
      <c r="A411" s="525" t="s">
        <v>430</v>
      </c>
      <c r="B411" s="520" t="s">
        <v>431</v>
      </c>
      <c r="C411" s="519" t="s">
        <v>1234</v>
      </c>
      <c r="D411" s="519" t="s">
        <v>560</v>
      </c>
      <c r="E411" s="519" t="s">
        <v>53</v>
      </c>
      <c r="F411" s="518" t="s">
        <v>1233</v>
      </c>
      <c r="G411" s="523" t="s">
        <v>562</v>
      </c>
      <c r="H411" s="522" t="s">
        <v>56</v>
      </c>
      <c r="I411" s="533" t="s">
        <v>57</v>
      </c>
      <c r="J411" s="522" t="s">
        <v>58</v>
      </c>
      <c r="K411" s="515" t="s">
        <v>59</v>
      </c>
      <c r="L411" s="521">
        <v>8.4499999999999993</v>
      </c>
      <c r="M411" s="520" t="s">
        <v>60</v>
      </c>
    </row>
    <row r="412" spans="1:13">
      <c r="A412" s="525" t="s">
        <v>430</v>
      </c>
      <c r="B412" s="520" t="s">
        <v>431</v>
      </c>
      <c r="C412" s="519">
        <v>8026</v>
      </c>
      <c r="D412" s="519" t="s">
        <v>560</v>
      </c>
      <c r="E412" s="519" t="s">
        <v>53</v>
      </c>
      <c r="F412" s="518" t="s">
        <v>564</v>
      </c>
      <c r="G412" s="523" t="s">
        <v>562</v>
      </c>
      <c r="H412" s="522" t="s">
        <v>56</v>
      </c>
      <c r="I412" s="533" t="s">
        <v>57</v>
      </c>
      <c r="J412" s="522" t="s">
        <v>58</v>
      </c>
      <c r="K412" s="515" t="s">
        <v>59</v>
      </c>
      <c r="L412" s="521">
        <v>8.4499999999999993</v>
      </c>
      <c r="M412" s="520" t="s">
        <v>60</v>
      </c>
    </row>
    <row r="413" spans="1:13">
      <c r="A413" s="525" t="s">
        <v>430</v>
      </c>
      <c r="B413" s="520" t="s">
        <v>431</v>
      </c>
      <c r="C413" s="519" t="s">
        <v>1232</v>
      </c>
      <c r="D413" s="519" t="s">
        <v>560</v>
      </c>
      <c r="E413" s="519" t="s">
        <v>53</v>
      </c>
      <c r="F413" s="518" t="s">
        <v>1231</v>
      </c>
      <c r="G413" s="523" t="s">
        <v>562</v>
      </c>
      <c r="H413" s="522" t="s">
        <v>56</v>
      </c>
      <c r="I413" s="533" t="s">
        <v>57</v>
      </c>
      <c r="J413" s="522" t="s">
        <v>58</v>
      </c>
      <c r="K413" s="515" t="s">
        <v>59</v>
      </c>
      <c r="L413" s="521">
        <v>8.4499999999999993</v>
      </c>
      <c r="M413" s="520" t="s">
        <v>60</v>
      </c>
    </row>
    <row r="414" spans="1:13">
      <c r="A414" s="525" t="s">
        <v>430</v>
      </c>
      <c r="B414" s="520" t="s">
        <v>431</v>
      </c>
      <c r="C414" s="519">
        <v>8028</v>
      </c>
      <c r="D414" s="519" t="s">
        <v>560</v>
      </c>
      <c r="E414" s="519" t="s">
        <v>53</v>
      </c>
      <c r="F414" s="518" t="s">
        <v>565</v>
      </c>
      <c r="G414" s="523" t="s">
        <v>562</v>
      </c>
      <c r="H414" s="522" t="s">
        <v>56</v>
      </c>
      <c r="I414" s="533" t="s">
        <v>57</v>
      </c>
      <c r="J414" s="522" t="s">
        <v>58</v>
      </c>
      <c r="K414" s="515" t="s">
        <v>59</v>
      </c>
      <c r="L414" s="521">
        <v>8.4499999999999993</v>
      </c>
      <c r="M414" s="520" t="s">
        <v>60</v>
      </c>
    </row>
    <row r="415" spans="1:13">
      <c r="A415" s="525" t="s">
        <v>430</v>
      </c>
      <c r="B415" s="520" t="s">
        <v>431</v>
      </c>
      <c r="C415" s="519" t="s">
        <v>1230</v>
      </c>
      <c r="D415" s="519" t="s">
        <v>560</v>
      </c>
      <c r="E415" s="519" t="s">
        <v>53</v>
      </c>
      <c r="F415" s="518" t="s">
        <v>1229</v>
      </c>
      <c r="G415" s="523" t="s">
        <v>562</v>
      </c>
      <c r="H415" s="522" t="s">
        <v>56</v>
      </c>
      <c r="I415" s="533" t="s">
        <v>57</v>
      </c>
      <c r="J415" s="522" t="s">
        <v>58</v>
      </c>
      <c r="K415" s="515" t="s">
        <v>59</v>
      </c>
      <c r="L415" s="521">
        <v>8.4499999999999993</v>
      </c>
      <c r="M415" s="520" t="s">
        <v>60</v>
      </c>
    </row>
    <row r="416" spans="1:13">
      <c r="A416" s="525" t="s">
        <v>430</v>
      </c>
      <c r="B416" s="520" t="s">
        <v>431</v>
      </c>
      <c r="C416" s="519" t="s">
        <v>1228</v>
      </c>
      <c r="D416" s="519" t="s">
        <v>560</v>
      </c>
      <c r="E416" s="519" t="s">
        <v>53</v>
      </c>
      <c r="F416" s="518" t="s">
        <v>1227</v>
      </c>
      <c r="G416" s="523" t="s">
        <v>562</v>
      </c>
      <c r="H416" s="522" t="s">
        <v>56</v>
      </c>
      <c r="I416" s="533" t="s">
        <v>57</v>
      </c>
      <c r="J416" s="522" t="s">
        <v>58</v>
      </c>
      <c r="K416" s="515" t="s">
        <v>59</v>
      </c>
      <c r="L416" s="521">
        <v>8.4499999999999993</v>
      </c>
      <c r="M416" s="520" t="s">
        <v>60</v>
      </c>
    </row>
    <row r="417" spans="1:13">
      <c r="A417" s="525" t="s">
        <v>430</v>
      </c>
      <c r="B417" s="520" t="s">
        <v>431</v>
      </c>
      <c r="C417" s="519" t="s">
        <v>1226</v>
      </c>
      <c r="D417" s="519" t="s">
        <v>560</v>
      </c>
      <c r="E417" s="519" t="s">
        <v>53</v>
      </c>
      <c r="F417" s="518" t="s">
        <v>1225</v>
      </c>
      <c r="G417" s="523" t="s">
        <v>562</v>
      </c>
      <c r="H417" s="522" t="s">
        <v>56</v>
      </c>
      <c r="I417" s="533" t="s">
        <v>57</v>
      </c>
      <c r="J417" s="522" t="s">
        <v>58</v>
      </c>
      <c r="K417" s="515" t="s">
        <v>59</v>
      </c>
      <c r="L417" s="521">
        <v>8.4499999999999993</v>
      </c>
      <c r="M417" s="520" t="s">
        <v>60</v>
      </c>
    </row>
    <row r="418" spans="1:13">
      <c r="A418" s="525" t="s">
        <v>430</v>
      </c>
      <c r="B418" s="520" t="s">
        <v>431</v>
      </c>
      <c r="C418" s="519" t="s">
        <v>1224</v>
      </c>
      <c r="D418" s="519" t="s">
        <v>560</v>
      </c>
      <c r="E418" s="519" t="s">
        <v>53</v>
      </c>
      <c r="F418" s="518" t="s">
        <v>1223</v>
      </c>
      <c r="G418" s="523" t="s">
        <v>562</v>
      </c>
      <c r="H418" s="522" t="s">
        <v>56</v>
      </c>
      <c r="I418" s="533" t="s">
        <v>57</v>
      </c>
      <c r="J418" s="522" t="s">
        <v>58</v>
      </c>
      <c r="K418" s="515" t="s">
        <v>59</v>
      </c>
      <c r="L418" s="521">
        <v>8.4499999999999993</v>
      </c>
      <c r="M418" s="520" t="s">
        <v>60</v>
      </c>
    </row>
    <row r="419" spans="1:13">
      <c r="A419" s="525" t="s">
        <v>430</v>
      </c>
      <c r="B419" s="520" t="s">
        <v>431</v>
      </c>
      <c r="C419" s="519" t="s">
        <v>1222</v>
      </c>
      <c r="D419" s="519" t="s">
        <v>560</v>
      </c>
      <c r="E419" s="519" t="s">
        <v>53</v>
      </c>
      <c r="F419" s="518" t="s">
        <v>1221</v>
      </c>
      <c r="G419" s="523" t="s">
        <v>562</v>
      </c>
      <c r="H419" s="522" t="s">
        <v>56</v>
      </c>
      <c r="I419" s="533" t="s">
        <v>57</v>
      </c>
      <c r="J419" s="522" t="s">
        <v>58</v>
      </c>
      <c r="K419" s="515" t="s">
        <v>59</v>
      </c>
      <c r="L419" s="521">
        <v>8.4499999999999993</v>
      </c>
      <c r="M419" s="520" t="s">
        <v>60</v>
      </c>
    </row>
    <row r="420" spans="1:13">
      <c r="A420" s="525" t="s">
        <v>430</v>
      </c>
      <c r="B420" s="520" t="s">
        <v>431</v>
      </c>
      <c r="C420" s="519">
        <v>8073</v>
      </c>
      <c r="D420" s="519" t="s">
        <v>560</v>
      </c>
      <c r="E420" s="519" t="s">
        <v>53</v>
      </c>
      <c r="F420" s="534" t="s">
        <v>566</v>
      </c>
      <c r="G420" s="523" t="s">
        <v>562</v>
      </c>
      <c r="H420" s="522" t="s">
        <v>56</v>
      </c>
      <c r="I420" s="533" t="s">
        <v>57</v>
      </c>
      <c r="J420" s="522" t="s">
        <v>58</v>
      </c>
      <c r="K420" s="515" t="s">
        <v>59</v>
      </c>
      <c r="L420" s="521">
        <v>8.4499999999999993</v>
      </c>
      <c r="M420" s="520" t="s">
        <v>60</v>
      </c>
    </row>
    <row r="421" spans="1:13">
      <c r="A421" s="525" t="s">
        <v>430</v>
      </c>
      <c r="B421" s="520" t="s">
        <v>431</v>
      </c>
      <c r="C421" s="519">
        <v>8074</v>
      </c>
      <c r="D421" s="519" t="s">
        <v>560</v>
      </c>
      <c r="E421" s="519" t="s">
        <v>53</v>
      </c>
      <c r="F421" s="534" t="s">
        <v>567</v>
      </c>
      <c r="G421" s="523" t="s">
        <v>562</v>
      </c>
      <c r="H421" s="522" t="s">
        <v>56</v>
      </c>
      <c r="I421" s="533" t="s">
        <v>57</v>
      </c>
      <c r="J421" s="522" t="s">
        <v>58</v>
      </c>
      <c r="K421" s="515" t="s">
        <v>59</v>
      </c>
      <c r="L421" s="521">
        <v>8.4499999999999993</v>
      </c>
      <c r="M421" s="520" t="s">
        <v>60</v>
      </c>
    </row>
    <row r="422" spans="1:13">
      <c r="A422" s="525" t="s">
        <v>430</v>
      </c>
      <c r="B422" s="520" t="s">
        <v>431</v>
      </c>
      <c r="C422" s="519" t="s">
        <v>1220</v>
      </c>
      <c r="D422" s="519" t="s">
        <v>560</v>
      </c>
      <c r="E422" s="519" t="s">
        <v>53</v>
      </c>
      <c r="F422" s="534" t="s">
        <v>1219</v>
      </c>
      <c r="G422" s="523" t="s">
        <v>562</v>
      </c>
      <c r="H422" s="522" t="s">
        <v>56</v>
      </c>
      <c r="I422" s="533" t="s">
        <v>57</v>
      </c>
      <c r="J422" s="522" t="s">
        <v>58</v>
      </c>
      <c r="K422" s="515" t="s">
        <v>59</v>
      </c>
      <c r="L422" s="521">
        <v>8.4499999999999993</v>
      </c>
      <c r="M422" s="520" t="s">
        <v>60</v>
      </c>
    </row>
    <row r="423" spans="1:13">
      <c r="A423" s="525" t="s">
        <v>430</v>
      </c>
      <c r="B423" s="520" t="s">
        <v>431</v>
      </c>
      <c r="C423" s="519" t="s">
        <v>1218</v>
      </c>
      <c r="D423" s="519" t="s">
        <v>560</v>
      </c>
      <c r="E423" s="519" t="s">
        <v>53</v>
      </c>
      <c r="F423" s="534" t="s">
        <v>1217</v>
      </c>
      <c r="G423" s="523" t="s">
        <v>562</v>
      </c>
      <c r="H423" s="522" t="s">
        <v>56</v>
      </c>
      <c r="I423" s="533" t="s">
        <v>57</v>
      </c>
      <c r="J423" s="522" t="s">
        <v>58</v>
      </c>
      <c r="K423" s="515" t="s">
        <v>59</v>
      </c>
      <c r="L423" s="521">
        <v>8.4499999999999993</v>
      </c>
      <c r="M423" s="520" t="s">
        <v>60</v>
      </c>
    </row>
    <row r="424" spans="1:13">
      <c r="A424" s="525" t="s">
        <v>430</v>
      </c>
      <c r="B424" s="520" t="s">
        <v>431</v>
      </c>
      <c r="C424" s="519" t="s">
        <v>1216</v>
      </c>
      <c r="D424" s="519" t="s">
        <v>560</v>
      </c>
      <c r="E424" s="519" t="s">
        <v>53</v>
      </c>
      <c r="F424" s="534" t="s">
        <v>1215</v>
      </c>
      <c r="G424" s="523" t="s">
        <v>562</v>
      </c>
      <c r="H424" s="522" t="s">
        <v>56</v>
      </c>
      <c r="I424" s="533" t="s">
        <v>57</v>
      </c>
      <c r="J424" s="522" t="s">
        <v>58</v>
      </c>
      <c r="K424" s="515" t="s">
        <v>59</v>
      </c>
      <c r="L424" s="521">
        <v>8.4499999999999993</v>
      </c>
      <c r="M424" s="520" t="s">
        <v>60</v>
      </c>
    </row>
    <row r="425" spans="1:13">
      <c r="A425" s="525" t="s">
        <v>430</v>
      </c>
      <c r="B425" s="520" t="s">
        <v>431</v>
      </c>
      <c r="C425" s="519">
        <v>8076</v>
      </c>
      <c r="D425" s="519" t="s">
        <v>560</v>
      </c>
      <c r="E425" s="519" t="s">
        <v>53</v>
      </c>
      <c r="F425" s="534" t="s">
        <v>568</v>
      </c>
      <c r="G425" s="523" t="s">
        <v>562</v>
      </c>
      <c r="H425" s="522" t="s">
        <v>56</v>
      </c>
      <c r="I425" s="533" t="s">
        <v>57</v>
      </c>
      <c r="J425" s="522" t="s">
        <v>58</v>
      </c>
      <c r="K425" s="515" t="s">
        <v>59</v>
      </c>
      <c r="L425" s="521">
        <v>8.4499999999999993</v>
      </c>
      <c r="M425" s="520" t="s">
        <v>60</v>
      </c>
    </row>
    <row r="426" spans="1:13">
      <c r="A426" s="525" t="s">
        <v>430</v>
      </c>
      <c r="B426" s="520" t="s">
        <v>431</v>
      </c>
      <c r="C426" s="519" t="s">
        <v>1214</v>
      </c>
      <c r="D426" s="519" t="s">
        <v>560</v>
      </c>
      <c r="E426" s="519" t="s">
        <v>53</v>
      </c>
      <c r="F426" s="534" t="s">
        <v>1213</v>
      </c>
      <c r="G426" s="523" t="s">
        <v>562</v>
      </c>
      <c r="H426" s="522" t="s">
        <v>56</v>
      </c>
      <c r="I426" s="533" t="s">
        <v>57</v>
      </c>
      <c r="J426" s="522" t="s">
        <v>58</v>
      </c>
      <c r="K426" s="515" t="s">
        <v>59</v>
      </c>
      <c r="L426" s="521">
        <v>8.4499999999999993</v>
      </c>
      <c r="M426" s="520" t="s">
        <v>60</v>
      </c>
    </row>
    <row r="427" spans="1:13">
      <c r="A427" s="525" t="s">
        <v>430</v>
      </c>
      <c r="B427" s="520" t="s">
        <v>431</v>
      </c>
      <c r="C427" s="519">
        <v>8250</v>
      </c>
      <c r="D427" s="519" t="s">
        <v>560</v>
      </c>
      <c r="E427" s="519" t="s">
        <v>53</v>
      </c>
      <c r="F427" s="518" t="s">
        <v>569</v>
      </c>
      <c r="G427" s="523" t="s">
        <v>562</v>
      </c>
      <c r="H427" s="522" t="s">
        <v>56</v>
      </c>
      <c r="I427" s="533" t="s">
        <v>57</v>
      </c>
      <c r="J427" s="522" t="s">
        <v>58</v>
      </c>
      <c r="K427" s="515" t="s">
        <v>59</v>
      </c>
      <c r="L427" s="521">
        <v>8.4499999999999993</v>
      </c>
      <c r="M427" s="520" t="s">
        <v>60</v>
      </c>
    </row>
    <row r="428" spans="1:13">
      <c r="A428" s="525" t="s">
        <v>430</v>
      </c>
      <c r="B428" s="520" t="s">
        <v>431</v>
      </c>
      <c r="C428" s="519">
        <v>8351</v>
      </c>
      <c r="D428" s="519" t="s">
        <v>560</v>
      </c>
      <c r="E428" s="519" t="s">
        <v>53</v>
      </c>
      <c r="F428" s="534" t="s">
        <v>570</v>
      </c>
      <c r="G428" s="523" t="s">
        <v>562</v>
      </c>
      <c r="H428" s="522" t="s">
        <v>56</v>
      </c>
      <c r="I428" s="533" t="s">
        <v>57</v>
      </c>
      <c r="J428" s="522" t="s">
        <v>58</v>
      </c>
      <c r="K428" s="515" t="s">
        <v>59</v>
      </c>
      <c r="L428" s="521">
        <v>8.4499999999999993</v>
      </c>
      <c r="M428" s="520" t="s">
        <v>60</v>
      </c>
    </row>
    <row r="429" spans="1:13">
      <c r="A429" s="525" t="s">
        <v>430</v>
      </c>
      <c r="B429" s="520" t="s">
        <v>431</v>
      </c>
      <c r="C429" s="519">
        <v>8370</v>
      </c>
      <c r="D429" s="519" t="s">
        <v>560</v>
      </c>
      <c r="E429" s="519" t="s">
        <v>53</v>
      </c>
      <c r="F429" s="534" t="s">
        <v>571</v>
      </c>
      <c r="G429" s="523" t="s">
        <v>562</v>
      </c>
      <c r="H429" s="522" t="s">
        <v>56</v>
      </c>
      <c r="I429" s="533" t="s">
        <v>57</v>
      </c>
      <c r="J429" s="522" t="s">
        <v>58</v>
      </c>
      <c r="K429" s="515" t="s">
        <v>59</v>
      </c>
      <c r="L429" s="521">
        <v>8.4499999999999993</v>
      </c>
      <c r="M429" s="520" t="s">
        <v>60</v>
      </c>
    </row>
    <row r="430" spans="1:13">
      <c r="A430" s="525" t="s">
        <v>430</v>
      </c>
      <c r="B430" s="520" t="s">
        <v>431</v>
      </c>
      <c r="C430" s="519">
        <v>8001</v>
      </c>
      <c r="D430" s="519" t="s">
        <v>560</v>
      </c>
      <c r="E430" s="519" t="s">
        <v>53</v>
      </c>
      <c r="F430" s="518" t="s">
        <v>572</v>
      </c>
      <c r="G430" s="523" t="s">
        <v>562</v>
      </c>
      <c r="H430" s="522" t="s">
        <v>56</v>
      </c>
      <c r="I430" s="533" t="s">
        <v>57</v>
      </c>
      <c r="J430" s="522" t="s">
        <v>58</v>
      </c>
      <c r="K430" s="515" t="s">
        <v>59</v>
      </c>
      <c r="L430" s="521">
        <v>8.4499999999999993</v>
      </c>
      <c r="M430" s="520" t="s">
        <v>60</v>
      </c>
    </row>
    <row r="431" spans="1:13">
      <c r="A431" s="525" t="s">
        <v>430</v>
      </c>
      <c r="B431" s="520" t="s">
        <v>431</v>
      </c>
      <c r="C431" s="519">
        <v>8002</v>
      </c>
      <c r="D431" s="519" t="s">
        <v>560</v>
      </c>
      <c r="E431" s="519" t="s">
        <v>53</v>
      </c>
      <c r="F431" s="534" t="s">
        <v>573</v>
      </c>
      <c r="G431" s="523" t="s">
        <v>562</v>
      </c>
      <c r="H431" s="522" t="s">
        <v>56</v>
      </c>
      <c r="I431" s="533" t="s">
        <v>57</v>
      </c>
      <c r="J431" s="522" t="s">
        <v>58</v>
      </c>
      <c r="K431" s="515" t="s">
        <v>59</v>
      </c>
      <c r="L431" s="521">
        <v>8.4499999999999993</v>
      </c>
      <c r="M431" s="520" t="s">
        <v>60</v>
      </c>
    </row>
    <row r="432" spans="1:13">
      <c r="A432" s="525" t="s">
        <v>430</v>
      </c>
      <c r="B432" s="520" t="s">
        <v>431</v>
      </c>
      <c r="C432" s="519">
        <v>8009</v>
      </c>
      <c r="D432" s="519" t="s">
        <v>560</v>
      </c>
      <c r="E432" s="519" t="s">
        <v>53</v>
      </c>
      <c r="F432" s="534" t="s">
        <v>573</v>
      </c>
      <c r="G432" s="523" t="s">
        <v>562</v>
      </c>
      <c r="H432" s="522" t="s">
        <v>56</v>
      </c>
      <c r="I432" s="533" t="s">
        <v>57</v>
      </c>
      <c r="J432" s="522" t="s">
        <v>58</v>
      </c>
      <c r="K432" s="515" t="s">
        <v>59</v>
      </c>
      <c r="L432" s="521">
        <v>8.4499999999999993</v>
      </c>
      <c r="M432" s="520" t="s">
        <v>60</v>
      </c>
    </row>
    <row r="433" spans="1:13">
      <c r="A433" s="525" t="s">
        <v>430</v>
      </c>
      <c r="B433" s="520" t="s">
        <v>431</v>
      </c>
      <c r="C433" s="519">
        <v>8021</v>
      </c>
      <c r="D433" s="519" t="s">
        <v>560</v>
      </c>
      <c r="E433" s="519" t="s">
        <v>53</v>
      </c>
      <c r="F433" s="518" t="s">
        <v>575</v>
      </c>
      <c r="G433" s="523" t="s">
        <v>562</v>
      </c>
      <c r="H433" s="522" t="s">
        <v>56</v>
      </c>
      <c r="I433" s="533" t="s">
        <v>57</v>
      </c>
      <c r="J433" s="522" t="s">
        <v>58</v>
      </c>
      <c r="K433" s="515" t="s">
        <v>59</v>
      </c>
      <c r="L433" s="521">
        <v>8.4499999999999993</v>
      </c>
      <c r="M433" s="520" t="s">
        <v>60</v>
      </c>
    </row>
    <row r="434" spans="1:13">
      <c r="A434" s="525" t="s">
        <v>430</v>
      </c>
      <c r="B434" s="520" t="s">
        <v>431</v>
      </c>
      <c r="C434" s="519">
        <v>8051</v>
      </c>
      <c r="D434" s="519" t="s">
        <v>560</v>
      </c>
      <c r="E434" s="519" t="s">
        <v>53</v>
      </c>
      <c r="F434" s="518" t="s">
        <v>576</v>
      </c>
      <c r="G434" s="523" t="s">
        <v>562</v>
      </c>
      <c r="H434" s="522" t="s">
        <v>56</v>
      </c>
      <c r="I434" s="533" t="s">
        <v>57</v>
      </c>
      <c r="J434" s="522" t="s">
        <v>58</v>
      </c>
      <c r="K434" s="515" t="s">
        <v>59</v>
      </c>
      <c r="L434" s="521">
        <v>8.4499999999999993</v>
      </c>
      <c r="M434" s="520" t="s">
        <v>60</v>
      </c>
    </row>
    <row r="435" spans="1:13">
      <c r="A435" s="525" t="s">
        <v>430</v>
      </c>
      <c r="B435" s="520" t="s">
        <v>431</v>
      </c>
      <c r="C435" s="519">
        <v>8071</v>
      </c>
      <c r="D435" s="519" t="s">
        <v>560</v>
      </c>
      <c r="E435" s="519" t="s">
        <v>53</v>
      </c>
      <c r="F435" s="518" t="s">
        <v>577</v>
      </c>
      <c r="G435" s="523" t="s">
        <v>562</v>
      </c>
      <c r="H435" s="522" t="s">
        <v>56</v>
      </c>
      <c r="I435" s="533" t="s">
        <v>57</v>
      </c>
      <c r="J435" s="522" t="s">
        <v>58</v>
      </c>
      <c r="K435" s="515" t="s">
        <v>59</v>
      </c>
      <c r="L435" s="521">
        <v>8.4499999999999993</v>
      </c>
      <c r="M435" s="520" t="s">
        <v>60</v>
      </c>
    </row>
    <row r="436" spans="1:13">
      <c r="A436" s="525" t="s">
        <v>430</v>
      </c>
      <c r="B436" s="520" t="s">
        <v>431</v>
      </c>
      <c r="C436" s="519">
        <v>8085</v>
      </c>
      <c r="D436" s="519" t="s">
        <v>560</v>
      </c>
      <c r="E436" s="519" t="s">
        <v>53</v>
      </c>
      <c r="F436" s="518" t="s">
        <v>578</v>
      </c>
      <c r="G436" s="523" t="s">
        <v>562</v>
      </c>
      <c r="H436" s="522" t="s">
        <v>56</v>
      </c>
      <c r="I436" s="533" t="s">
        <v>57</v>
      </c>
      <c r="J436" s="522" t="s">
        <v>58</v>
      </c>
      <c r="K436" s="515" t="s">
        <v>59</v>
      </c>
      <c r="L436" s="521">
        <v>8.4499999999999993</v>
      </c>
      <c r="M436" s="520" t="s">
        <v>60</v>
      </c>
    </row>
    <row r="437" spans="1:13">
      <c r="A437" s="525" t="s">
        <v>430</v>
      </c>
      <c r="B437" s="520" t="s">
        <v>431</v>
      </c>
      <c r="C437" s="519">
        <v>8302</v>
      </c>
      <c r="D437" s="519" t="s">
        <v>560</v>
      </c>
      <c r="E437" s="519" t="s">
        <v>53</v>
      </c>
      <c r="F437" s="518" t="s">
        <v>579</v>
      </c>
      <c r="G437" s="523" t="s">
        <v>562</v>
      </c>
      <c r="H437" s="522" t="s">
        <v>56</v>
      </c>
      <c r="I437" s="533" t="s">
        <v>57</v>
      </c>
      <c r="J437" s="522" t="s">
        <v>58</v>
      </c>
      <c r="K437" s="515" t="s">
        <v>59</v>
      </c>
      <c r="L437" s="521">
        <v>8.4499999999999993</v>
      </c>
      <c r="M437" s="520" t="s">
        <v>60</v>
      </c>
    </row>
    <row r="438" spans="1:13">
      <c r="A438" s="525" t="s">
        <v>430</v>
      </c>
      <c r="B438" s="520" t="s">
        <v>431</v>
      </c>
      <c r="C438" s="519">
        <v>8310</v>
      </c>
      <c r="D438" s="519" t="s">
        <v>560</v>
      </c>
      <c r="E438" s="519" t="s">
        <v>53</v>
      </c>
      <c r="F438" s="534" t="s">
        <v>580</v>
      </c>
      <c r="G438" s="523" t="s">
        <v>562</v>
      </c>
      <c r="H438" s="522" t="s">
        <v>56</v>
      </c>
      <c r="I438" s="533" t="s">
        <v>57</v>
      </c>
      <c r="J438" s="522" t="s">
        <v>58</v>
      </c>
      <c r="K438" s="515" t="s">
        <v>59</v>
      </c>
      <c r="L438" s="521">
        <v>8.4499999999999993</v>
      </c>
      <c r="M438" s="520" t="s">
        <v>60</v>
      </c>
    </row>
    <row r="439" spans="1:13">
      <c r="A439" s="525" t="s">
        <v>430</v>
      </c>
      <c r="B439" s="520" t="s">
        <v>431</v>
      </c>
      <c r="C439" s="519" t="s">
        <v>581</v>
      </c>
      <c r="D439" s="519" t="s">
        <v>560</v>
      </c>
      <c r="E439" s="522" t="s">
        <v>200</v>
      </c>
      <c r="F439" s="534" t="s">
        <v>582</v>
      </c>
      <c r="G439" s="523" t="s">
        <v>562</v>
      </c>
      <c r="H439" s="522" t="s">
        <v>56</v>
      </c>
      <c r="I439" s="533" t="s">
        <v>57</v>
      </c>
      <c r="J439" s="522" t="s">
        <v>58</v>
      </c>
      <c r="K439" s="515" t="s">
        <v>59</v>
      </c>
      <c r="L439" s="521">
        <v>8.4499999999999993</v>
      </c>
      <c r="M439" s="520" t="s">
        <v>60</v>
      </c>
    </row>
    <row r="440" spans="1:13">
      <c r="A440" s="525" t="s">
        <v>430</v>
      </c>
      <c r="B440" s="520" t="s">
        <v>431</v>
      </c>
      <c r="C440" s="519">
        <v>8350</v>
      </c>
      <c r="D440" s="519" t="s">
        <v>560</v>
      </c>
      <c r="E440" s="519" t="s">
        <v>53</v>
      </c>
      <c r="F440" s="534" t="s">
        <v>583</v>
      </c>
      <c r="G440" s="523" t="s">
        <v>562</v>
      </c>
      <c r="H440" s="522" t="s">
        <v>56</v>
      </c>
      <c r="I440" s="533" t="s">
        <v>57</v>
      </c>
      <c r="J440" s="522" t="s">
        <v>58</v>
      </c>
      <c r="K440" s="515" t="s">
        <v>59</v>
      </c>
      <c r="L440" s="521">
        <v>8.4499999999999993</v>
      </c>
      <c r="M440" s="520" t="s">
        <v>60</v>
      </c>
    </row>
    <row r="441" spans="1:13">
      <c r="A441" s="525" t="s">
        <v>430</v>
      </c>
      <c r="B441" s="520" t="s">
        <v>431</v>
      </c>
      <c r="C441" s="519">
        <v>8015</v>
      </c>
      <c r="D441" s="519" t="s">
        <v>560</v>
      </c>
      <c r="E441" s="519" t="s">
        <v>53</v>
      </c>
      <c r="F441" s="518" t="s">
        <v>584</v>
      </c>
      <c r="G441" s="523" t="s">
        <v>562</v>
      </c>
      <c r="H441" s="522" t="s">
        <v>56</v>
      </c>
      <c r="I441" s="533" t="s">
        <v>57</v>
      </c>
      <c r="J441" s="522" t="s">
        <v>58</v>
      </c>
      <c r="K441" s="515" t="s">
        <v>59</v>
      </c>
      <c r="L441" s="521">
        <v>8.4499999999999993</v>
      </c>
      <c r="M441" s="520" t="s">
        <v>60</v>
      </c>
    </row>
    <row r="442" spans="1:13">
      <c r="A442" s="525" t="s">
        <v>430</v>
      </c>
      <c r="B442" s="520" t="s">
        <v>431</v>
      </c>
      <c r="C442" s="519">
        <v>8072</v>
      </c>
      <c r="D442" s="519" t="s">
        <v>560</v>
      </c>
      <c r="E442" s="519" t="s">
        <v>53</v>
      </c>
      <c r="F442" s="518" t="s">
        <v>585</v>
      </c>
      <c r="G442" s="523" t="s">
        <v>562</v>
      </c>
      <c r="H442" s="522" t="s">
        <v>56</v>
      </c>
      <c r="I442" s="533" t="s">
        <v>57</v>
      </c>
      <c r="J442" s="522" t="s">
        <v>58</v>
      </c>
      <c r="K442" s="515" t="s">
        <v>59</v>
      </c>
      <c r="L442" s="521">
        <v>8.4499999999999993</v>
      </c>
      <c r="M442" s="520" t="s">
        <v>60</v>
      </c>
    </row>
    <row r="443" spans="1:13">
      <c r="A443" s="525" t="s">
        <v>430</v>
      </c>
      <c r="B443" s="520" t="s">
        <v>431</v>
      </c>
      <c r="C443" s="519">
        <v>8201</v>
      </c>
      <c r="D443" s="519" t="s">
        <v>560</v>
      </c>
      <c r="E443" s="519" t="s">
        <v>53</v>
      </c>
      <c r="F443" s="518" t="s">
        <v>586</v>
      </c>
      <c r="G443" s="523" t="s">
        <v>562</v>
      </c>
      <c r="H443" s="522" t="s">
        <v>56</v>
      </c>
      <c r="I443" s="533" t="s">
        <v>57</v>
      </c>
      <c r="J443" s="522" t="s">
        <v>58</v>
      </c>
      <c r="K443" s="515" t="s">
        <v>59</v>
      </c>
      <c r="L443" s="521">
        <v>8.4499999999999993</v>
      </c>
      <c r="M443" s="520" t="s">
        <v>60</v>
      </c>
    </row>
    <row r="444" spans="1:13">
      <c r="A444" s="525" t="s">
        <v>430</v>
      </c>
      <c r="B444" s="520" t="s">
        <v>431</v>
      </c>
      <c r="C444" s="519" t="s">
        <v>587</v>
      </c>
      <c r="D444" s="519" t="s">
        <v>560</v>
      </c>
      <c r="E444" s="522" t="s">
        <v>200</v>
      </c>
      <c r="F444" s="518" t="s">
        <v>572</v>
      </c>
      <c r="G444" s="523" t="s">
        <v>562</v>
      </c>
      <c r="H444" s="522" t="s">
        <v>56</v>
      </c>
      <c r="I444" s="533" t="s">
        <v>57</v>
      </c>
      <c r="J444" s="522" t="s">
        <v>58</v>
      </c>
      <c r="K444" s="515" t="s">
        <v>59</v>
      </c>
      <c r="L444" s="521">
        <v>8.4499999999999993</v>
      </c>
      <c r="M444" s="520" t="s">
        <v>60</v>
      </c>
    </row>
    <row r="445" spans="1:13">
      <c r="A445" s="525" t="s">
        <v>430</v>
      </c>
      <c r="B445" s="520" t="s">
        <v>431</v>
      </c>
      <c r="C445" s="519" t="s">
        <v>588</v>
      </c>
      <c r="D445" s="519" t="s">
        <v>560</v>
      </c>
      <c r="E445" s="522" t="s">
        <v>200</v>
      </c>
      <c r="F445" s="518" t="s">
        <v>575</v>
      </c>
      <c r="G445" s="523" t="s">
        <v>562</v>
      </c>
      <c r="H445" s="522" t="s">
        <v>56</v>
      </c>
      <c r="I445" s="533" t="s">
        <v>57</v>
      </c>
      <c r="J445" s="522" t="s">
        <v>58</v>
      </c>
      <c r="K445" s="515" t="s">
        <v>59</v>
      </c>
      <c r="L445" s="521">
        <v>8.4499999999999993</v>
      </c>
      <c r="M445" s="520" t="s">
        <v>60</v>
      </c>
    </row>
    <row r="446" spans="1:13">
      <c r="A446" s="525" t="s">
        <v>430</v>
      </c>
      <c r="B446" s="520" t="s">
        <v>431</v>
      </c>
      <c r="C446" s="519" t="s">
        <v>589</v>
      </c>
      <c r="D446" s="519" t="s">
        <v>560</v>
      </c>
      <c r="E446" s="522" t="s">
        <v>200</v>
      </c>
      <c r="F446" s="518" t="s">
        <v>590</v>
      </c>
      <c r="G446" s="523" t="s">
        <v>562</v>
      </c>
      <c r="H446" s="522" t="s">
        <v>56</v>
      </c>
      <c r="I446" s="533" t="s">
        <v>57</v>
      </c>
      <c r="J446" s="522" t="s">
        <v>58</v>
      </c>
      <c r="K446" s="515" t="s">
        <v>59</v>
      </c>
      <c r="L446" s="521">
        <v>8.4499999999999993</v>
      </c>
      <c r="M446" s="520" t="s">
        <v>60</v>
      </c>
    </row>
    <row r="447" spans="1:13">
      <c r="A447" s="525" t="s">
        <v>430</v>
      </c>
      <c r="B447" s="520" t="s">
        <v>431</v>
      </c>
      <c r="C447" s="519" t="s">
        <v>591</v>
      </c>
      <c r="D447" s="519" t="s">
        <v>560</v>
      </c>
      <c r="E447" s="522" t="s">
        <v>200</v>
      </c>
      <c r="F447" s="518" t="s">
        <v>577</v>
      </c>
      <c r="G447" s="523" t="s">
        <v>562</v>
      </c>
      <c r="H447" s="522" t="s">
        <v>56</v>
      </c>
      <c r="I447" s="533" t="s">
        <v>57</v>
      </c>
      <c r="J447" s="522" t="s">
        <v>58</v>
      </c>
      <c r="K447" s="515" t="s">
        <v>59</v>
      </c>
      <c r="L447" s="521">
        <v>8.4499999999999993</v>
      </c>
      <c r="M447" s="520" t="s">
        <v>60</v>
      </c>
    </row>
    <row r="448" spans="1:13">
      <c r="A448" s="525" t="s">
        <v>430</v>
      </c>
      <c r="B448" s="520" t="s">
        <v>431</v>
      </c>
      <c r="C448" s="519" t="s">
        <v>592</v>
      </c>
      <c r="D448" s="519" t="s">
        <v>560</v>
      </c>
      <c r="E448" s="522" t="s">
        <v>200</v>
      </c>
      <c r="F448" s="518" t="s">
        <v>585</v>
      </c>
      <c r="G448" s="523" t="s">
        <v>562</v>
      </c>
      <c r="H448" s="522" t="s">
        <v>56</v>
      </c>
      <c r="I448" s="533" t="s">
        <v>57</v>
      </c>
      <c r="J448" s="522" t="s">
        <v>58</v>
      </c>
      <c r="K448" s="515" t="s">
        <v>59</v>
      </c>
      <c r="L448" s="521">
        <v>8.4499999999999993</v>
      </c>
      <c r="M448" s="520" t="s">
        <v>60</v>
      </c>
    </row>
    <row r="449" spans="1:13">
      <c r="A449" s="525" t="s">
        <v>430</v>
      </c>
      <c r="B449" s="520" t="s">
        <v>431</v>
      </c>
      <c r="C449" s="519" t="s">
        <v>593</v>
      </c>
      <c r="D449" s="519" t="s">
        <v>560</v>
      </c>
      <c r="E449" s="522" t="s">
        <v>200</v>
      </c>
      <c r="F449" s="518" t="s">
        <v>594</v>
      </c>
      <c r="G449" s="523" t="s">
        <v>562</v>
      </c>
      <c r="H449" s="522" t="s">
        <v>56</v>
      </c>
      <c r="I449" s="533" t="s">
        <v>57</v>
      </c>
      <c r="J449" s="522" t="s">
        <v>58</v>
      </c>
      <c r="K449" s="515" t="s">
        <v>59</v>
      </c>
      <c r="L449" s="521">
        <v>8.4499999999999993</v>
      </c>
      <c r="M449" s="520" t="s">
        <v>60</v>
      </c>
    </row>
    <row r="450" spans="1:13">
      <c r="A450" s="525" t="s">
        <v>430</v>
      </c>
      <c r="B450" s="520" t="s">
        <v>431</v>
      </c>
      <c r="C450" s="519" t="s">
        <v>1212</v>
      </c>
      <c r="D450" s="519" t="s">
        <v>560</v>
      </c>
      <c r="E450" s="519" t="s">
        <v>53</v>
      </c>
      <c r="F450" s="518" t="s">
        <v>1211</v>
      </c>
      <c r="G450" s="523" t="s">
        <v>562</v>
      </c>
      <c r="H450" s="522" t="s">
        <v>56</v>
      </c>
      <c r="I450" s="533" t="s">
        <v>57</v>
      </c>
      <c r="J450" s="522" t="s">
        <v>58</v>
      </c>
      <c r="K450" s="515" t="s">
        <v>59</v>
      </c>
      <c r="L450" s="521">
        <v>8.4499999999999993</v>
      </c>
      <c r="M450" s="520" t="s">
        <v>60</v>
      </c>
    </row>
    <row r="451" spans="1:13">
      <c r="A451" s="525" t="s">
        <v>430</v>
      </c>
      <c r="B451" s="520" t="s">
        <v>431</v>
      </c>
      <c r="C451" s="519" t="s">
        <v>595</v>
      </c>
      <c r="D451" s="519" t="s">
        <v>560</v>
      </c>
      <c r="E451" s="522" t="s">
        <v>200</v>
      </c>
      <c r="F451" s="518" t="s">
        <v>596</v>
      </c>
      <c r="G451" s="523" t="s">
        <v>562</v>
      </c>
      <c r="H451" s="522" t="s">
        <v>56</v>
      </c>
      <c r="I451" s="533" t="s">
        <v>57</v>
      </c>
      <c r="J451" s="522" t="s">
        <v>58</v>
      </c>
      <c r="K451" s="515" t="s">
        <v>59</v>
      </c>
      <c r="L451" s="521">
        <v>8.4499999999999993</v>
      </c>
      <c r="M451" s="520" t="s">
        <v>60</v>
      </c>
    </row>
    <row r="452" spans="1:13">
      <c r="A452" s="525" t="s">
        <v>430</v>
      </c>
      <c r="B452" s="520" t="s">
        <v>431</v>
      </c>
      <c r="C452" s="519">
        <v>8075</v>
      </c>
      <c r="D452" s="519" t="s">
        <v>560</v>
      </c>
      <c r="E452" s="519" t="s">
        <v>53</v>
      </c>
      <c r="F452" s="518" t="s">
        <v>597</v>
      </c>
      <c r="G452" s="523" t="s">
        <v>562</v>
      </c>
      <c r="H452" s="522" t="s">
        <v>56</v>
      </c>
      <c r="I452" s="533" t="s">
        <v>57</v>
      </c>
      <c r="J452" s="522" t="s">
        <v>58</v>
      </c>
      <c r="K452" s="515" t="s">
        <v>59</v>
      </c>
      <c r="L452" s="521">
        <v>8.4499999999999993</v>
      </c>
      <c r="M452" s="520" t="s">
        <v>60</v>
      </c>
    </row>
    <row r="453" spans="1:13">
      <c r="A453" s="525" t="s">
        <v>430</v>
      </c>
      <c r="B453" s="520" t="s">
        <v>431</v>
      </c>
      <c r="C453" s="519" t="s">
        <v>598</v>
      </c>
      <c r="D453" s="519" t="s">
        <v>560</v>
      </c>
      <c r="E453" s="522" t="s">
        <v>200</v>
      </c>
      <c r="F453" s="518" t="s">
        <v>599</v>
      </c>
      <c r="G453" s="523" t="s">
        <v>562</v>
      </c>
      <c r="H453" s="522" t="s">
        <v>56</v>
      </c>
      <c r="I453" s="533" t="s">
        <v>57</v>
      </c>
      <c r="J453" s="522" t="s">
        <v>58</v>
      </c>
      <c r="K453" s="515" t="s">
        <v>59</v>
      </c>
      <c r="L453" s="521">
        <v>8.4499999999999993</v>
      </c>
      <c r="M453" s="520" t="s">
        <v>60</v>
      </c>
    </row>
    <row r="454" spans="1:13">
      <c r="A454" s="525" t="s">
        <v>430</v>
      </c>
      <c r="B454" s="520" t="s">
        <v>431</v>
      </c>
      <c r="C454" s="519" t="s">
        <v>1210</v>
      </c>
      <c r="D454" s="519" t="s">
        <v>560</v>
      </c>
      <c r="E454" s="522" t="s">
        <v>200</v>
      </c>
      <c r="F454" s="518" t="s">
        <v>1209</v>
      </c>
      <c r="G454" s="523" t="s">
        <v>562</v>
      </c>
      <c r="H454" s="522" t="s">
        <v>56</v>
      </c>
      <c r="I454" s="533" t="s">
        <v>57</v>
      </c>
      <c r="J454" s="522" t="s">
        <v>58</v>
      </c>
      <c r="K454" s="515" t="s">
        <v>59</v>
      </c>
      <c r="L454" s="521">
        <v>8.4499999999999993</v>
      </c>
      <c r="M454" s="520" t="s">
        <v>60</v>
      </c>
    </row>
    <row r="455" spans="1:13">
      <c r="A455" s="525" t="s">
        <v>430</v>
      </c>
      <c r="B455" s="520" t="s">
        <v>431</v>
      </c>
      <c r="C455" s="519">
        <v>8086</v>
      </c>
      <c r="D455" s="519" t="s">
        <v>560</v>
      </c>
      <c r="E455" s="519" t="s">
        <v>53</v>
      </c>
      <c r="F455" s="534" t="s">
        <v>600</v>
      </c>
      <c r="G455" s="523" t="s">
        <v>562</v>
      </c>
      <c r="H455" s="522" t="s">
        <v>56</v>
      </c>
      <c r="I455" s="533" t="s">
        <v>57</v>
      </c>
      <c r="J455" s="522" t="s">
        <v>58</v>
      </c>
      <c r="K455" s="515" t="s">
        <v>59</v>
      </c>
      <c r="L455" s="521">
        <v>8.4499999999999993</v>
      </c>
      <c r="M455" s="520" t="s">
        <v>60</v>
      </c>
    </row>
    <row r="456" spans="1:13">
      <c r="A456" s="525" t="s">
        <v>430</v>
      </c>
      <c r="B456" s="520" t="s">
        <v>431</v>
      </c>
      <c r="C456" s="519">
        <v>8087</v>
      </c>
      <c r="D456" s="519" t="s">
        <v>560</v>
      </c>
      <c r="E456" s="519" t="s">
        <v>53</v>
      </c>
      <c r="F456" s="535" t="s">
        <v>601</v>
      </c>
      <c r="G456" s="523" t="s">
        <v>562</v>
      </c>
      <c r="H456" s="522" t="s">
        <v>56</v>
      </c>
      <c r="I456" s="533" t="s">
        <v>57</v>
      </c>
      <c r="J456" s="522" t="s">
        <v>58</v>
      </c>
      <c r="K456" s="515" t="s">
        <v>59</v>
      </c>
      <c r="L456" s="521">
        <v>8.4499999999999993</v>
      </c>
      <c r="M456" s="520" t="s">
        <v>60</v>
      </c>
    </row>
    <row r="457" spans="1:13">
      <c r="A457" s="525" t="s">
        <v>430</v>
      </c>
      <c r="B457" s="520" t="s">
        <v>431</v>
      </c>
      <c r="C457" s="519" t="s">
        <v>1208</v>
      </c>
      <c r="D457" s="519" t="s">
        <v>560</v>
      </c>
      <c r="E457" s="522" t="s">
        <v>200</v>
      </c>
      <c r="F457" s="535" t="s">
        <v>1207</v>
      </c>
      <c r="G457" s="523" t="s">
        <v>562</v>
      </c>
      <c r="H457" s="522" t="s">
        <v>56</v>
      </c>
      <c r="I457" s="533" t="s">
        <v>57</v>
      </c>
      <c r="J457" s="522" t="s">
        <v>58</v>
      </c>
      <c r="K457" s="515" t="s">
        <v>59</v>
      </c>
      <c r="L457" s="521">
        <v>8.4499999999999993</v>
      </c>
      <c r="M457" s="520" t="s">
        <v>60</v>
      </c>
    </row>
    <row r="458" spans="1:13">
      <c r="A458" s="525" t="s">
        <v>430</v>
      </c>
      <c r="B458" s="520" t="s">
        <v>431</v>
      </c>
      <c r="C458" s="519">
        <v>8088</v>
      </c>
      <c r="D458" s="519" t="s">
        <v>560</v>
      </c>
      <c r="E458" s="519" t="s">
        <v>53</v>
      </c>
      <c r="F458" s="518" t="s">
        <v>602</v>
      </c>
      <c r="G458" s="523" t="s">
        <v>562</v>
      </c>
      <c r="H458" s="522" t="s">
        <v>56</v>
      </c>
      <c r="I458" s="533" t="s">
        <v>57</v>
      </c>
      <c r="J458" s="522" t="s">
        <v>58</v>
      </c>
      <c r="K458" s="515" t="s">
        <v>59</v>
      </c>
      <c r="L458" s="521">
        <v>8.4499999999999993</v>
      </c>
      <c r="M458" s="520" t="s">
        <v>60</v>
      </c>
    </row>
    <row r="459" spans="1:13">
      <c r="A459" s="525" t="s">
        <v>430</v>
      </c>
      <c r="B459" s="520" t="s">
        <v>431</v>
      </c>
      <c r="C459" s="519" t="s">
        <v>603</v>
      </c>
      <c r="D459" s="519" t="s">
        <v>560</v>
      </c>
      <c r="E459" s="522" t="s">
        <v>200</v>
      </c>
      <c r="F459" s="518" t="s">
        <v>604</v>
      </c>
      <c r="G459" s="523" t="s">
        <v>562</v>
      </c>
      <c r="H459" s="522" t="s">
        <v>56</v>
      </c>
      <c r="I459" s="533" t="s">
        <v>57</v>
      </c>
      <c r="J459" s="522" t="s">
        <v>58</v>
      </c>
      <c r="K459" s="515" t="s">
        <v>59</v>
      </c>
      <c r="L459" s="521">
        <v>8.4499999999999993</v>
      </c>
      <c r="M459" s="520" t="s">
        <v>60</v>
      </c>
    </row>
    <row r="460" spans="1:13">
      <c r="A460" s="525" t="s">
        <v>430</v>
      </c>
      <c r="B460" s="520" t="s">
        <v>431</v>
      </c>
      <c r="C460" s="519">
        <v>8025</v>
      </c>
      <c r="D460" s="519" t="s">
        <v>560</v>
      </c>
      <c r="E460" s="519" t="s">
        <v>53</v>
      </c>
      <c r="F460" s="518" t="s">
        <v>605</v>
      </c>
      <c r="G460" s="523" t="s">
        <v>562</v>
      </c>
      <c r="H460" s="522" t="s">
        <v>56</v>
      </c>
      <c r="I460" s="533" t="s">
        <v>57</v>
      </c>
      <c r="J460" s="522" t="s">
        <v>58</v>
      </c>
      <c r="K460" s="515" t="s">
        <v>59</v>
      </c>
      <c r="L460" s="521">
        <v>8.4499999999999993</v>
      </c>
      <c r="M460" s="520" t="s">
        <v>60</v>
      </c>
    </row>
    <row r="461" spans="1:13">
      <c r="A461" s="525" t="s">
        <v>430</v>
      </c>
      <c r="B461" s="520" t="s">
        <v>431</v>
      </c>
      <c r="C461" s="519" t="s">
        <v>606</v>
      </c>
      <c r="D461" s="519" t="s">
        <v>560</v>
      </c>
      <c r="E461" s="522" t="s">
        <v>200</v>
      </c>
      <c r="F461" s="518" t="s">
        <v>607</v>
      </c>
      <c r="G461" s="523" t="s">
        <v>562</v>
      </c>
      <c r="H461" s="522" t="s">
        <v>56</v>
      </c>
      <c r="I461" s="533" t="s">
        <v>57</v>
      </c>
      <c r="J461" s="522" t="s">
        <v>58</v>
      </c>
      <c r="K461" s="515" t="s">
        <v>59</v>
      </c>
      <c r="L461" s="521">
        <v>8.4499999999999993</v>
      </c>
      <c r="M461" s="520" t="s">
        <v>60</v>
      </c>
    </row>
    <row r="462" spans="1:13">
      <c r="A462" s="525" t="s">
        <v>430</v>
      </c>
      <c r="B462" s="520" t="s">
        <v>431</v>
      </c>
      <c r="C462" s="519">
        <v>8023</v>
      </c>
      <c r="D462" s="519" t="s">
        <v>560</v>
      </c>
      <c r="E462" s="519" t="s">
        <v>53</v>
      </c>
      <c r="F462" s="518" t="s">
        <v>608</v>
      </c>
      <c r="G462" s="523" t="s">
        <v>562</v>
      </c>
      <c r="H462" s="522" t="s">
        <v>56</v>
      </c>
      <c r="I462" s="533" t="s">
        <v>57</v>
      </c>
      <c r="J462" s="522" t="s">
        <v>58</v>
      </c>
      <c r="K462" s="515" t="s">
        <v>59</v>
      </c>
      <c r="L462" s="521">
        <v>8.4499999999999993</v>
      </c>
      <c r="M462" s="520" t="s">
        <v>60</v>
      </c>
    </row>
    <row r="463" spans="1:13">
      <c r="A463" s="525" t="s">
        <v>430</v>
      </c>
      <c r="B463" s="520" t="s">
        <v>431</v>
      </c>
      <c r="C463" s="519" t="s">
        <v>609</v>
      </c>
      <c r="D463" s="519" t="s">
        <v>610</v>
      </c>
      <c r="E463" s="519" t="s">
        <v>62</v>
      </c>
      <c r="F463" s="518" t="s">
        <v>611</v>
      </c>
      <c r="G463" s="523" t="s">
        <v>562</v>
      </c>
      <c r="H463" s="522" t="s">
        <v>56</v>
      </c>
      <c r="I463" s="533" t="s">
        <v>57</v>
      </c>
      <c r="J463" s="522" t="s">
        <v>58</v>
      </c>
      <c r="K463" s="515" t="s">
        <v>59</v>
      </c>
      <c r="L463" s="521">
        <v>17.05</v>
      </c>
      <c r="M463" s="520" t="s">
        <v>60</v>
      </c>
    </row>
    <row r="464" spans="1:13">
      <c r="A464" s="525" t="s">
        <v>430</v>
      </c>
      <c r="B464" s="520" t="s">
        <v>431</v>
      </c>
      <c r="C464" s="519" t="s">
        <v>612</v>
      </c>
      <c r="D464" s="519" t="s">
        <v>610</v>
      </c>
      <c r="E464" s="519" t="s">
        <v>62</v>
      </c>
      <c r="F464" s="534" t="s">
        <v>574</v>
      </c>
      <c r="G464" s="523" t="s">
        <v>562</v>
      </c>
      <c r="H464" s="522" t="s">
        <v>56</v>
      </c>
      <c r="I464" s="533" t="s">
        <v>57</v>
      </c>
      <c r="J464" s="522" t="s">
        <v>58</v>
      </c>
      <c r="K464" s="515" t="s">
        <v>59</v>
      </c>
      <c r="L464" s="521">
        <v>17.05</v>
      </c>
      <c r="M464" s="520" t="s">
        <v>60</v>
      </c>
    </row>
    <row r="465" spans="1:13">
      <c r="A465" s="525" t="s">
        <v>430</v>
      </c>
      <c r="B465" s="520" t="s">
        <v>431</v>
      </c>
      <c r="C465" s="519" t="s">
        <v>613</v>
      </c>
      <c r="D465" s="519" t="s">
        <v>610</v>
      </c>
      <c r="E465" s="519" t="s">
        <v>62</v>
      </c>
      <c r="F465" s="518" t="s">
        <v>577</v>
      </c>
      <c r="G465" s="523" t="s">
        <v>562</v>
      </c>
      <c r="H465" s="522" t="s">
        <v>56</v>
      </c>
      <c r="I465" s="533" t="s">
        <v>57</v>
      </c>
      <c r="J465" s="522" t="s">
        <v>58</v>
      </c>
      <c r="K465" s="515" t="s">
        <v>59</v>
      </c>
      <c r="L465" s="521">
        <v>17.05</v>
      </c>
      <c r="M465" s="520" t="s">
        <v>60</v>
      </c>
    </row>
    <row r="466" spans="1:13">
      <c r="A466" s="525" t="s">
        <v>430</v>
      </c>
      <c r="B466" s="520" t="s">
        <v>431</v>
      </c>
      <c r="C466" s="519" t="s">
        <v>614</v>
      </c>
      <c r="D466" s="519" t="s">
        <v>615</v>
      </c>
      <c r="E466" s="519" t="s">
        <v>53</v>
      </c>
      <c r="F466" s="518" t="s">
        <v>616</v>
      </c>
      <c r="G466" s="523" t="s">
        <v>562</v>
      </c>
      <c r="H466" s="522" t="s">
        <v>56</v>
      </c>
      <c r="I466" s="516" t="s">
        <v>146</v>
      </c>
      <c r="J466" s="522" t="s">
        <v>58</v>
      </c>
      <c r="K466" s="515" t="s">
        <v>59</v>
      </c>
      <c r="L466" s="521">
        <v>9.75</v>
      </c>
      <c r="M466" s="520" t="s">
        <v>60</v>
      </c>
    </row>
    <row r="467" spans="1:13">
      <c r="A467" s="525" t="s">
        <v>430</v>
      </c>
      <c r="B467" s="520" t="s">
        <v>431</v>
      </c>
      <c r="C467" s="519">
        <v>8701</v>
      </c>
      <c r="D467" s="519">
        <v>12500670</v>
      </c>
      <c r="E467" s="519" t="s">
        <v>53</v>
      </c>
      <c r="F467" s="518" t="s">
        <v>617</v>
      </c>
      <c r="G467" s="523" t="s">
        <v>562</v>
      </c>
      <c r="H467" s="522" t="s">
        <v>56</v>
      </c>
      <c r="I467" s="516" t="s">
        <v>143</v>
      </c>
      <c r="J467" s="522" t="s">
        <v>58</v>
      </c>
      <c r="K467" s="515" t="s">
        <v>59</v>
      </c>
      <c r="L467" s="521">
        <v>5.75</v>
      </c>
      <c r="M467" s="520" t="s">
        <v>60</v>
      </c>
    </row>
    <row r="468" spans="1:13">
      <c r="A468" s="525" t="s">
        <v>430</v>
      </c>
      <c r="B468" s="520" t="s">
        <v>618</v>
      </c>
      <c r="C468" s="519">
        <v>8702</v>
      </c>
      <c r="D468" s="519">
        <v>12500670</v>
      </c>
      <c r="E468" s="519" t="s">
        <v>53</v>
      </c>
      <c r="F468" s="518" t="s">
        <v>619</v>
      </c>
      <c r="G468" s="523" t="s">
        <v>562</v>
      </c>
      <c r="H468" s="522" t="s">
        <v>56</v>
      </c>
      <c r="I468" s="516" t="s">
        <v>143</v>
      </c>
      <c r="J468" s="522" t="s">
        <v>58</v>
      </c>
      <c r="K468" s="515" t="s">
        <v>59</v>
      </c>
      <c r="L468" s="521">
        <v>5.75</v>
      </c>
      <c r="M468" s="520" t="s">
        <v>60</v>
      </c>
    </row>
    <row r="469" spans="1:13">
      <c r="A469" s="525" t="s">
        <v>430</v>
      </c>
      <c r="B469" s="520" t="s">
        <v>618</v>
      </c>
      <c r="C469" s="519" t="s">
        <v>620</v>
      </c>
      <c r="D469" s="519">
        <v>12500670</v>
      </c>
      <c r="E469" s="519" t="s">
        <v>53</v>
      </c>
      <c r="F469" s="518" t="s">
        <v>621</v>
      </c>
      <c r="G469" s="523" t="s">
        <v>562</v>
      </c>
      <c r="H469" s="522" t="s">
        <v>56</v>
      </c>
      <c r="I469" s="516" t="s">
        <v>143</v>
      </c>
      <c r="J469" s="522" t="s">
        <v>58</v>
      </c>
      <c r="K469" s="515" t="s">
        <v>59</v>
      </c>
      <c r="L469" s="521">
        <v>5.75</v>
      </c>
      <c r="M469" s="520" t="s">
        <v>60</v>
      </c>
    </row>
    <row r="470" spans="1:13">
      <c r="A470" s="525" t="s">
        <v>430</v>
      </c>
      <c r="B470" s="520" t="s">
        <v>431</v>
      </c>
      <c r="C470" s="519">
        <v>2495</v>
      </c>
      <c r="D470" s="519" t="s">
        <v>622</v>
      </c>
      <c r="E470" s="519" t="s">
        <v>53</v>
      </c>
      <c r="F470" s="518" t="s">
        <v>623</v>
      </c>
      <c r="G470" s="523" t="s">
        <v>624</v>
      </c>
      <c r="H470" s="522" t="s">
        <v>56</v>
      </c>
      <c r="I470" s="516" t="s">
        <v>625</v>
      </c>
      <c r="J470" s="522" t="s">
        <v>58</v>
      </c>
      <c r="K470" s="515" t="s">
        <v>626</v>
      </c>
      <c r="L470" s="521">
        <v>2.85</v>
      </c>
      <c r="M470" s="520" t="s">
        <v>60</v>
      </c>
    </row>
    <row r="471" spans="1:13">
      <c r="A471" s="525" t="s">
        <v>430</v>
      </c>
      <c r="B471" s="520" t="s">
        <v>431</v>
      </c>
      <c r="C471" s="519" t="s">
        <v>1057</v>
      </c>
      <c r="D471" s="519" t="s">
        <v>622</v>
      </c>
      <c r="E471" s="519" t="s">
        <v>53</v>
      </c>
      <c r="F471" s="518" t="s">
        <v>1056</v>
      </c>
      <c r="G471" s="523" t="s">
        <v>624</v>
      </c>
      <c r="H471" s="522" t="s">
        <v>56</v>
      </c>
      <c r="I471" s="516" t="s">
        <v>625</v>
      </c>
      <c r="J471" s="522" t="s">
        <v>58</v>
      </c>
      <c r="K471" s="515" t="s">
        <v>626</v>
      </c>
      <c r="L471" s="521">
        <v>2.85</v>
      </c>
      <c r="M471" s="520" t="s">
        <v>60</v>
      </c>
    </row>
    <row r="472" spans="1:13">
      <c r="A472" s="525" t="s">
        <v>430</v>
      </c>
      <c r="B472" s="520" t="s">
        <v>431</v>
      </c>
      <c r="C472" s="519" t="s">
        <v>1055</v>
      </c>
      <c r="D472" s="519" t="s">
        <v>622</v>
      </c>
      <c r="E472" s="519" t="s">
        <v>53</v>
      </c>
      <c r="F472" s="532" t="s">
        <v>1054</v>
      </c>
      <c r="G472" s="523" t="s">
        <v>624</v>
      </c>
      <c r="H472" s="522" t="s">
        <v>56</v>
      </c>
      <c r="I472" s="516" t="s">
        <v>625</v>
      </c>
      <c r="J472" s="522" t="s">
        <v>58</v>
      </c>
      <c r="K472" s="515" t="s">
        <v>626</v>
      </c>
      <c r="L472" s="521">
        <v>2.85</v>
      </c>
      <c r="M472" s="520" t="s">
        <v>60</v>
      </c>
    </row>
    <row r="473" spans="1:13">
      <c r="A473" s="525" t="s">
        <v>430</v>
      </c>
      <c r="B473" s="520" t="s">
        <v>431</v>
      </c>
      <c r="C473" s="519">
        <v>2891</v>
      </c>
      <c r="D473" s="519">
        <v>12926570</v>
      </c>
      <c r="E473" s="519" t="s">
        <v>53</v>
      </c>
      <c r="F473" s="518" t="s">
        <v>627</v>
      </c>
      <c r="G473" s="523" t="s">
        <v>624</v>
      </c>
      <c r="H473" s="522" t="s">
        <v>56</v>
      </c>
      <c r="I473" s="516" t="s">
        <v>146</v>
      </c>
      <c r="J473" s="522" t="s">
        <v>58</v>
      </c>
      <c r="K473" s="515" t="s">
        <v>626</v>
      </c>
      <c r="L473" s="521">
        <v>9.1</v>
      </c>
      <c r="M473" s="520" t="s">
        <v>60</v>
      </c>
    </row>
    <row r="474" spans="1:13">
      <c r="A474" s="525" t="s">
        <v>430</v>
      </c>
      <c r="B474" s="520" t="s">
        <v>431</v>
      </c>
      <c r="C474" s="519">
        <v>2892</v>
      </c>
      <c r="D474" s="519">
        <v>12926570</v>
      </c>
      <c r="E474" s="519" t="s">
        <v>53</v>
      </c>
      <c r="F474" s="518" t="s">
        <v>628</v>
      </c>
      <c r="G474" s="523" t="s">
        <v>624</v>
      </c>
      <c r="H474" s="522" t="s">
        <v>56</v>
      </c>
      <c r="I474" s="516" t="s">
        <v>146</v>
      </c>
      <c r="J474" s="522" t="s">
        <v>58</v>
      </c>
      <c r="K474" s="515" t="s">
        <v>626</v>
      </c>
      <c r="L474" s="521">
        <v>9.1</v>
      </c>
      <c r="M474" s="520" t="s">
        <v>60</v>
      </c>
    </row>
    <row r="475" spans="1:13">
      <c r="A475" s="525" t="s">
        <v>430</v>
      </c>
      <c r="B475" s="520" t="s">
        <v>431</v>
      </c>
      <c r="C475" s="519">
        <v>2895</v>
      </c>
      <c r="D475" s="519">
        <v>12926570</v>
      </c>
      <c r="E475" s="519" t="s">
        <v>53</v>
      </c>
      <c r="F475" s="518" t="s">
        <v>629</v>
      </c>
      <c r="G475" s="523" t="s">
        <v>624</v>
      </c>
      <c r="H475" s="522" t="s">
        <v>56</v>
      </c>
      <c r="I475" s="516" t="s">
        <v>146</v>
      </c>
      <c r="J475" s="522" t="s">
        <v>58</v>
      </c>
      <c r="K475" s="515" t="s">
        <v>626</v>
      </c>
      <c r="L475" s="521">
        <v>9.1</v>
      </c>
      <c r="M475" s="520" t="s">
        <v>60</v>
      </c>
    </row>
    <row r="476" spans="1:13">
      <c r="A476" s="525" t="s">
        <v>430</v>
      </c>
      <c r="B476" s="520" t="s">
        <v>431</v>
      </c>
      <c r="C476" s="519">
        <v>2897</v>
      </c>
      <c r="D476" s="519">
        <v>12926570</v>
      </c>
      <c r="E476" s="519" t="s">
        <v>53</v>
      </c>
      <c r="F476" s="518" t="s">
        <v>630</v>
      </c>
      <c r="G476" s="523" t="s">
        <v>624</v>
      </c>
      <c r="H476" s="522" t="s">
        <v>56</v>
      </c>
      <c r="I476" s="516" t="s">
        <v>146</v>
      </c>
      <c r="J476" s="522" t="s">
        <v>58</v>
      </c>
      <c r="K476" s="515" t="s">
        <v>626</v>
      </c>
      <c r="L476" s="521">
        <v>9.1</v>
      </c>
      <c r="M476" s="520" t="s">
        <v>60</v>
      </c>
    </row>
    <row r="477" spans="1:13">
      <c r="A477" s="525" t="s">
        <v>430</v>
      </c>
      <c r="B477" s="520" t="s">
        <v>431</v>
      </c>
      <c r="C477" s="519">
        <v>2051</v>
      </c>
      <c r="D477" s="519">
        <v>12926670</v>
      </c>
      <c r="E477" s="519" t="s">
        <v>53</v>
      </c>
      <c r="F477" s="518" t="s">
        <v>631</v>
      </c>
      <c r="G477" s="523" t="s">
        <v>624</v>
      </c>
      <c r="H477" s="522" t="s">
        <v>56</v>
      </c>
      <c r="I477" s="516" t="s">
        <v>57</v>
      </c>
      <c r="J477" s="522" t="s">
        <v>58</v>
      </c>
      <c r="K477" s="515" t="s">
        <v>626</v>
      </c>
      <c r="L477" s="521">
        <v>9.85</v>
      </c>
      <c r="M477" s="520" t="s">
        <v>60</v>
      </c>
    </row>
    <row r="478" spans="1:13">
      <c r="A478" s="525" t="s">
        <v>430</v>
      </c>
      <c r="B478" s="520" t="s">
        <v>431</v>
      </c>
      <c r="C478" s="519">
        <v>2074</v>
      </c>
      <c r="D478" s="519">
        <v>12926670</v>
      </c>
      <c r="E478" s="519" t="s">
        <v>53</v>
      </c>
      <c r="F478" s="518" t="s">
        <v>632</v>
      </c>
      <c r="G478" s="523" t="s">
        <v>624</v>
      </c>
      <c r="H478" s="522" t="s">
        <v>56</v>
      </c>
      <c r="I478" s="516" t="s">
        <v>57</v>
      </c>
      <c r="J478" s="522" t="s">
        <v>58</v>
      </c>
      <c r="K478" s="515" t="s">
        <v>626</v>
      </c>
      <c r="L478" s="521">
        <v>9.85</v>
      </c>
      <c r="M478" s="520" t="s">
        <v>60</v>
      </c>
    </row>
    <row r="479" spans="1:13">
      <c r="A479" s="525" t="s">
        <v>430</v>
      </c>
      <c r="B479" s="520" t="s">
        <v>431</v>
      </c>
      <c r="C479" s="519">
        <v>2075</v>
      </c>
      <c r="D479" s="519">
        <v>12926670</v>
      </c>
      <c r="E479" s="519" t="s">
        <v>53</v>
      </c>
      <c r="F479" s="518" t="s">
        <v>632</v>
      </c>
      <c r="G479" s="523" t="s">
        <v>624</v>
      </c>
      <c r="H479" s="522" t="s">
        <v>56</v>
      </c>
      <c r="I479" s="516" t="s">
        <v>57</v>
      </c>
      <c r="J479" s="522" t="s">
        <v>58</v>
      </c>
      <c r="K479" s="515" t="s">
        <v>626</v>
      </c>
      <c r="L479" s="521">
        <v>9.85</v>
      </c>
      <c r="M479" s="520" t="s">
        <v>60</v>
      </c>
    </row>
    <row r="480" spans="1:13">
      <c r="A480" s="525" t="s">
        <v>430</v>
      </c>
      <c r="B480" s="520" t="s">
        <v>431</v>
      </c>
      <c r="C480" s="519" t="s">
        <v>1053</v>
      </c>
      <c r="D480" s="519">
        <v>12926670</v>
      </c>
      <c r="E480" s="519" t="s">
        <v>53</v>
      </c>
      <c r="F480" s="532" t="s">
        <v>1052</v>
      </c>
      <c r="G480" s="523" t="s">
        <v>624</v>
      </c>
      <c r="H480" s="522" t="s">
        <v>56</v>
      </c>
      <c r="I480" s="516" t="s">
        <v>57</v>
      </c>
      <c r="J480" s="522" t="s">
        <v>58</v>
      </c>
      <c r="K480" s="515" t="s">
        <v>626</v>
      </c>
      <c r="L480" s="521">
        <v>9.85</v>
      </c>
      <c r="M480" s="520" t="s">
        <v>60</v>
      </c>
    </row>
    <row r="481" spans="1:13">
      <c r="A481" s="525" t="s">
        <v>430</v>
      </c>
      <c r="B481" s="520" t="s">
        <v>431</v>
      </c>
      <c r="C481" s="519" t="s">
        <v>1051</v>
      </c>
      <c r="D481" s="519">
        <v>12926670</v>
      </c>
      <c r="E481" s="519" t="s">
        <v>53</v>
      </c>
      <c r="F481" s="518" t="s">
        <v>1050</v>
      </c>
      <c r="G481" s="523" t="s">
        <v>624</v>
      </c>
      <c r="H481" s="522" t="s">
        <v>56</v>
      </c>
      <c r="I481" s="516" t="s">
        <v>57</v>
      </c>
      <c r="J481" s="522" t="s">
        <v>58</v>
      </c>
      <c r="K481" s="515" t="s">
        <v>626</v>
      </c>
      <c r="L481" s="521">
        <v>9.85</v>
      </c>
      <c r="M481" s="520" t="s">
        <v>60</v>
      </c>
    </row>
    <row r="482" spans="1:13">
      <c r="A482" s="525" t="s">
        <v>430</v>
      </c>
      <c r="B482" s="520" t="s">
        <v>431</v>
      </c>
      <c r="C482" s="519">
        <v>2078</v>
      </c>
      <c r="D482" s="519">
        <v>12926670</v>
      </c>
      <c r="E482" s="519" t="s">
        <v>53</v>
      </c>
      <c r="F482" s="518" t="s">
        <v>633</v>
      </c>
      <c r="G482" s="523" t="s">
        <v>624</v>
      </c>
      <c r="H482" s="522" t="s">
        <v>56</v>
      </c>
      <c r="I482" s="516" t="s">
        <v>57</v>
      </c>
      <c r="J482" s="522" t="s">
        <v>58</v>
      </c>
      <c r="K482" s="515" t="s">
        <v>626</v>
      </c>
      <c r="L482" s="521">
        <v>9.85</v>
      </c>
      <c r="M482" s="520" t="s">
        <v>60</v>
      </c>
    </row>
    <row r="483" spans="1:13">
      <c r="A483" s="525" t="s">
        <v>430</v>
      </c>
      <c r="B483" s="520" t="s">
        <v>431</v>
      </c>
      <c r="C483" s="519">
        <v>2079</v>
      </c>
      <c r="D483" s="519">
        <v>12926670</v>
      </c>
      <c r="E483" s="519" t="s">
        <v>53</v>
      </c>
      <c r="F483" s="518" t="s">
        <v>634</v>
      </c>
      <c r="G483" s="523" t="s">
        <v>624</v>
      </c>
      <c r="H483" s="522" t="s">
        <v>56</v>
      </c>
      <c r="I483" s="516" t="s">
        <v>57</v>
      </c>
      <c r="J483" s="522" t="s">
        <v>58</v>
      </c>
      <c r="K483" s="515" t="s">
        <v>626</v>
      </c>
      <c r="L483" s="521">
        <v>9.85</v>
      </c>
      <c r="M483" s="520" t="s">
        <v>60</v>
      </c>
    </row>
    <row r="484" spans="1:13">
      <c r="A484" s="525" t="s">
        <v>430</v>
      </c>
      <c r="B484" s="520" t="s">
        <v>431</v>
      </c>
      <c r="C484" s="519">
        <v>2080</v>
      </c>
      <c r="D484" s="519">
        <v>12926670</v>
      </c>
      <c r="E484" s="519" t="s">
        <v>53</v>
      </c>
      <c r="F484" s="518" t="s">
        <v>635</v>
      </c>
      <c r="G484" s="523" t="s">
        <v>624</v>
      </c>
      <c r="H484" s="522" t="s">
        <v>56</v>
      </c>
      <c r="I484" s="516" t="s">
        <v>57</v>
      </c>
      <c r="J484" s="522" t="s">
        <v>58</v>
      </c>
      <c r="K484" s="515" t="s">
        <v>626</v>
      </c>
      <c r="L484" s="521">
        <v>9.85</v>
      </c>
      <c r="M484" s="520" t="s">
        <v>60</v>
      </c>
    </row>
    <row r="485" spans="1:13">
      <c r="A485" s="525" t="s">
        <v>430</v>
      </c>
      <c r="B485" s="520" t="s">
        <v>431</v>
      </c>
      <c r="C485" s="519">
        <v>2082</v>
      </c>
      <c r="D485" s="519">
        <v>12926670</v>
      </c>
      <c r="E485" s="519" t="s">
        <v>53</v>
      </c>
      <c r="F485" s="518" t="s">
        <v>636</v>
      </c>
      <c r="G485" s="523" t="s">
        <v>624</v>
      </c>
      <c r="H485" s="522" t="s">
        <v>56</v>
      </c>
      <c r="I485" s="516" t="s">
        <v>57</v>
      </c>
      <c r="J485" s="522" t="s">
        <v>58</v>
      </c>
      <c r="K485" s="515" t="s">
        <v>626</v>
      </c>
      <c r="L485" s="521">
        <v>9.85</v>
      </c>
      <c r="M485" s="520" t="s">
        <v>60</v>
      </c>
    </row>
    <row r="486" spans="1:13">
      <c r="A486" s="525" t="s">
        <v>430</v>
      </c>
      <c r="B486" s="520" t="s">
        <v>431</v>
      </c>
      <c r="C486" s="519">
        <v>2085</v>
      </c>
      <c r="D486" s="519">
        <v>12926670</v>
      </c>
      <c r="E486" s="519" t="s">
        <v>53</v>
      </c>
      <c r="F486" s="518" t="s">
        <v>637</v>
      </c>
      <c r="G486" s="523" t="s">
        <v>624</v>
      </c>
      <c r="H486" s="522" t="s">
        <v>56</v>
      </c>
      <c r="I486" s="516" t="s">
        <v>57</v>
      </c>
      <c r="J486" s="522" t="s">
        <v>58</v>
      </c>
      <c r="K486" s="515" t="s">
        <v>626</v>
      </c>
      <c r="L486" s="521">
        <v>9.85</v>
      </c>
      <c r="M486" s="520" t="s">
        <v>60</v>
      </c>
    </row>
    <row r="487" spans="1:13">
      <c r="A487" s="525" t="s">
        <v>430</v>
      </c>
      <c r="B487" s="520" t="s">
        <v>431</v>
      </c>
      <c r="C487" s="519">
        <v>4001</v>
      </c>
      <c r="D487" s="519">
        <v>12183770</v>
      </c>
      <c r="E487" s="519" t="s">
        <v>53</v>
      </c>
      <c r="F487" s="524" t="s">
        <v>638</v>
      </c>
      <c r="G487" s="523" t="s">
        <v>639</v>
      </c>
      <c r="H487" s="522" t="s">
        <v>56</v>
      </c>
      <c r="I487" s="516" t="s">
        <v>57</v>
      </c>
      <c r="J487" s="522" t="s">
        <v>58</v>
      </c>
      <c r="K487" s="515" t="s">
        <v>59</v>
      </c>
      <c r="L487" s="521">
        <v>9.8000000000000007</v>
      </c>
      <c r="M487" s="520" t="s">
        <v>60</v>
      </c>
    </row>
    <row r="488" spans="1:13">
      <c r="A488" s="525" t="s">
        <v>430</v>
      </c>
      <c r="B488" s="520" t="s">
        <v>431</v>
      </c>
      <c r="C488" s="519" t="s">
        <v>640</v>
      </c>
      <c r="D488" s="519">
        <v>12183770</v>
      </c>
      <c r="E488" s="519" t="s">
        <v>53</v>
      </c>
      <c r="F488" s="524" t="s">
        <v>641</v>
      </c>
      <c r="G488" s="523" t="s">
        <v>639</v>
      </c>
      <c r="H488" s="522" t="s">
        <v>56</v>
      </c>
      <c r="I488" s="516" t="s">
        <v>57</v>
      </c>
      <c r="J488" s="522" t="s">
        <v>58</v>
      </c>
      <c r="K488" s="515" t="s">
        <v>59</v>
      </c>
      <c r="L488" s="521">
        <v>9.8000000000000007</v>
      </c>
      <c r="M488" s="520" t="s">
        <v>60</v>
      </c>
    </row>
    <row r="489" spans="1:13">
      <c r="A489" s="525" t="s">
        <v>430</v>
      </c>
      <c r="B489" s="520" t="s">
        <v>431</v>
      </c>
      <c r="C489" s="519" t="s">
        <v>642</v>
      </c>
      <c r="D489" s="519">
        <v>12183770</v>
      </c>
      <c r="E489" s="519" t="s">
        <v>53</v>
      </c>
      <c r="F489" s="524" t="s">
        <v>643</v>
      </c>
      <c r="G489" s="523" t="s">
        <v>639</v>
      </c>
      <c r="H489" s="522" t="s">
        <v>56</v>
      </c>
      <c r="I489" s="516" t="s">
        <v>57</v>
      </c>
      <c r="J489" s="522" t="s">
        <v>58</v>
      </c>
      <c r="K489" s="515" t="s">
        <v>59</v>
      </c>
      <c r="L489" s="521">
        <v>9.8000000000000007</v>
      </c>
      <c r="M489" s="520" t="s">
        <v>60</v>
      </c>
    </row>
    <row r="490" spans="1:13">
      <c r="A490" s="525" t="s">
        <v>430</v>
      </c>
      <c r="B490" s="520" t="s">
        <v>431</v>
      </c>
      <c r="C490" s="519" t="s">
        <v>644</v>
      </c>
      <c r="D490" s="519">
        <v>12183770</v>
      </c>
      <c r="E490" s="519" t="s">
        <v>53</v>
      </c>
      <c r="F490" s="524" t="s">
        <v>645</v>
      </c>
      <c r="G490" s="523" t="s">
        <v>639</v>
      </c>
      <c r="H490" s="522" t="s">
        <v>56</v>
      </c>
      <c r="I490" s="516" t="s">
        <v>57</v>
      </c>
      <c r="J490" s="522" t="s">
        <v>58</v>
      </c>
      <c r="K490" s="515" t="s">
        <v>59</v>
      </c>
      <c r="L490" s="521">
        <v>9.8000000000000007</v>
      </c>
      <c r="M490" s="520" t="s">
        <v>60</v>
      </c>
    </row>
    <row r="491" spans="1:13">
      <c r="A491" s="525" t="s">
        <v>430</v>
      </c>
      <c r="B491" s="520" t="s">
        <v>431</v>
      </c>
      <c r="C491" s="519" t="s">
        <v>646</v>
      </c>
      <c r="D491" s="519">
        <v>12183770</v>
      </c>
      <c r="E491" s="519" t="s">
        <v>53</v>
      </c>
      <c r="F491" s="524" t="s">
        <v>647</v>
      </c>
      <c r="G491" s="523" t="s">
        <v>639</v>
      </c>
      <c r="H491" s="522" t="s">
        <v>56</v>
      </c>
      <c r="I491" s="516" t="s">
        <v>57</v>
      </c>
      <c r="J491" s="522" t="s">
        <v>58</v>
      </c>
      <c r="K491" s="515" t="s">
        <v>59</v>
      </c>
      <c r="L491" s="521">
        <v>9.8000000000000007</v>
      </c>
      <c r="M491" s="520" t="s">
        <v>60</v>
      </c>
    </row>
    <row r="492" spans="1:13">
      <c r="A492" s="525" t="s">
        <v>430</v>
      </c>
      <c r="B492" s="520" t="s">
        <v>431</v>
      </c>
      <c r="C492" s="519">
        <v>4003</v>
      </c>
      <c r="D492" s="519">
        <v>12183770</v>
      </c>
      <c r="E492" s="519" t="s">
        <v>53</v>
      </c>
      <c r="F492" s="524" t="s">
        <v>648</v>
      </c>
      <c r="G492" s="523" t="s">
        <v>639</v>
      </c>
      <c r="H492" s="522" t="s">
        <v>56</v>
      </c>
      <c r="I492" s="516" t="s">
        <v>57</v>
      </c>
      <c r="J492" s="522" t="s">
        <v>58</v>
      </c>
      <c r="K492" s="515" t="s">
        <v>59</v>
      </c>
      <c r="L492" s="521">
        <v>9.8000000000000007</v>
      </c>
      <c r="M492" s="520" t="s">
        <v>60</v>
      </c>
    </row>
    <row r="493" spans="1:13">
      <c r="A493" s="525" t="s">
        <v>430</v>
      </c>
      <c r="B493" s="520" t="s">
        <v>431</v>
      </c>
      <c r="C493" s="519">
        <v>4004</v>
      </c>
      <c r="D493" s="519" t="s">
        <v>649</v>
      </c>
      <c r="E493" s="519" t="s">
        <v>53</v>
      </c>
      <c r="F493" s="524" t="s">
        <v>650</v>
      </c>
      <c r="G493" s="523" t="s">
        <v>639</v>
      </c>
      <c r="H493" s="522" t="s">
        <v>56</v>
      </c>
      <c r="I493" s="516" t="s">
        <v>57</v>
      </c>
      <c r="J493" s="522" t="s">
        <v>58</v>
      </c>
      <c r="K493" s="515" t="s">
        <v>59</v>
      </c>
      <c r="L493" s="521">
        <v>9.8000000000000007</v>
      </c>
      <c r="M493" s="520" t="s">
        <v>60</v>
      </c>
    </row>
    <row r="494" spans="1:13">
      <c r="A494" s="525" t="s">
        <v>430</v>
      </c>
      <c r="B494" s="520" t="s">
        <v>431</v>
      </c>
      <c r="C494" s="519">
        <v>4070</v>
      </c>
      <c r="D494" s="519">
        <v>12183770</v>
      </c>
      <c r="E494" s="519" t="s">
        <v>53</v>
      </c>
      <c r="F494" s="524" t="s">
        <v>651</v>
      </c>
      <c r="G494" s="523" t="s">
        <v>639</v>
      </c>
      <c r="H494" s="522" t="s">
        <v>56</v>
      </c>
      <c r="I494" s="516" t="s">
        <v>57</v>
      </c>
      <c r="J494" s="522" t="s">
        <v>58</v>
      </c>
      <c r="K494" s="515" t="s">
        <v>59</v>
      </c>
      <c r="L494" s="521">
        <v>9.8000000000000007</v>
      </c>
      <c r="M494" s="520" t="s">
        <v>60</v>
      </c>
    </row>
    <row r="495" spans="1:13">
      <c r="A495" s="525" t="s">
        <v>430</v>
      </c>
      <c r="B495" s="520" t="s">
        <v>431</v>
      </c>
      <c r="C495" s="519">
        <v>4085</v>
      </c>
      <c r="D495" s="519">
        <v>12183770</v>
      </c>
      <c r="E495" s="519" t="s">
        <v>53</v>
      </c>
      <c r="F495" s="524" t="s">
        <v>652</v>
      </c>
      <c r="G495" s="523" t="s">
        <v>639</v>
      </c>
      <c r="H495" s="522" t="s">
        <v>56</v>
      </c>
      <c r="I495" s="516" t="s">
        <v>57</v>
      </c>
      <c r="J495" s="522" t="s">
        <v>58</v>
      </c>
      <c r="K495" s="515" t="s">
        <v>59</v>
      </c>
      <c r="L495" s="521">
        <v>9.8000000000000007</v>
      </c>
      <c r="M495" s="520" t="s">
        <v>60</v>
      </c>
    </row>
    <row r="496" spans="1:13">
      <c r="A496" s="525" t="s">
        <v>430</v>
      </c>
      <c r="B496" s="520" t="s">
        <v>431</v>
      </c>
      <c r="C496" s="519">
        <v>4087</v>
      </c>
      <c r="D496" s="519">
        <v>12183770</v>
      </c>
      <c r="E496" s="519" t="s">
        <v>53</v>
      </c>
      <c r="F496" s="524" t="s">
        <v>653</v>
      </c>
      <c r="G496" s="523" t="s">
        <v>639</v>
      </c>
      <c r="H496" s="522" t="s">
        <v>56</v>
      </c>
      <c r="I496" s="516" t="s">
        <v>57</v>
      </c>
      <c r="J496" s="522" t="s">
        <v>58</v>
      </c>
      <c r="K496" s="515" t="s">
        <v>59</v>
      </c>
      <c r="L496" s="521">
        <v>9.8000000000000007</v>
      </c>
      <c r="M496" s="520" t="s">
        <v>60</v>
      </c>
    </row>
    <row r="497" spans="1:13">
      <c r="A497" s="529" t="s">
        <v>430</v>
      </c>
      <c r="B497" s="526" t="s">
        <v>431</v>
      </c>
      <c r="C497" s="531">
        <v>4301</v>
      </c>
      <c r="D497" s="531">
        <v>12183770</v>
      </c>
      <c r="E497" s="531" t="s">
        <v>53</v>
      </c>
      <c r="F497" s="524" t="s">
        <v>654</v>
      </c>
      <c r="G497" s="530" t="s">
        <v>639</v>
      </c>
      <c r="H497" s="528" t="s">
        <v>56</v>
      </c>
      <c r="I497" s="529" t="s">
        <v>57</v>
      </c>
      <c r="J497" s="528" t="s">
        <v>58</v>
      </c>
      <c r="K497" s="515" t="s">
        <v>59</v>
      </c>
      <c r="L497" s="527">
        <v>9.8000000000000007</v>
      </c>
      <c r="M497" s="526" t="s">
        <v>60</v>
      </c>
    </row>
    <row r="498" spans="1:13">
      <c r="A498" s="525" t="s">
        <v>430</v>
      </c>
      <c r="B498" s="520" t="s">
        <v>431</v>
      </c>
      <c r="C498" s="519">
        <v>4304</v>
      </c>
      <c r="D498" s="519">
        <v>12183770</v>
      </c>
      <c r="E498" s="519" t="s">
        <v>53</v>
      </c>
      <c r="F498" s="524" t="s">
        <v>655</v>
      </c>
      <c r="G498" s="523" t="s">
        <v>639</v>
      </c>
      <c r="H498" s="522" t="s">
        <v>56</v>
      </c>
      <c r="I498" s="516" t="s">
        <v>57</v>
      </c>
      <c r="J498" s="522" t="s">
        <v>58</v>
      </c>
      <c r="K498" s="515" t="s">
        <v>59</v>
      </c>
      <c r="L498" s="521">
        <v>9.8000000000000007</v>
      </c>
      <c r="M498" s="520" t="s">
        <v>60</v>
      </c>
    </row>
    <row r="499" spans="1:13">
      <c r="A499" s="525" t="s">
        <v>430</v>
      </c>
      <c r="B499" s="520" t="s">
        <v>431</v>
      </c>
      <c r="C499" s="531" t="s">
        <v>656</v>
      </c>
      <c r="D499" s="531">
        <v>12183770</v>
      </c>
      <c r="E499" s="528" t="s">
        <v>200</v>
      </c>
      <c r="F499" s="524" t="s">
        <v>657</v>
      </c>
      <c r="G499" s="530" t="s">
        <v>639</v>
      </c>
      <c r="H499" s="528" t="s">
        <v>56</v>
      </c>
      <c r="I499" s="529" t="s">
        <v>57</v>
      </c>
      <c r="J499" s="528" t="s">
        <v>58</v>
      </c>
      <c r="K499" s="515" t="s">
        <v>59</v>
      </c>
      <c r="L499" s="527">
        <v>9.8000000000000007</v>
      </c>
      <c r="M499" s="526" t="s">
        <v>60</v>
      </c>
    </row>
    <row r="500" spans="1:13">
      <c r="A500" s="525" t="s">
        <v>430</v>
      </c>
      <c r="B500" s="520" t="s">
        <v>431</v>
      </c>
      <c r="C500" s="531" t="s">
        <v>658</v>
      </c>
      <c r="D500" s="531">
        <v>12183770</v>
      </c>
      <c r="E500" s="528" t="s">
        <v>200</v>
      </c>
      <c r="F500" s="524" t="s">
        <v>659</v>
      </c>
      <c r="G500" s="530" t="s">
        <v>639</v>
      </c>
      <c r="H500" s="528" t="s">
        <v>56</v>
      </c>
      <c r="I500" s="529" t="s">
        <v>57</v>
      </c>
      <c r="J500" s="528" t="s">
        <v>58</v>
      </c>
      <c r="K500" s="515" t="s">
        <v>59</v>
      </c>
      <c r="L500" s="527">
        <v>9.8000000000000007</v>
      </c>
      <c r="M500" s="526" t="s">
        <v>60</v>
      </c>
    </row>
    <row r="501" spans="1:13">
      <c r="A501" s="525" t="s">
        <v>430</v>
      </c>
      <c r="B501" s="520" t="s">
        <v>431</v>
      </c>
      <c r="C501" s="531" t="s">
        <v>660</v>
      </c>
      <c r="D501" s="531">
        <v>12183770</v>
      </c>
      <c r="E501" s="528" t="s">
        <v>200</v>
      </c>
      <c r="F501" s="524" t="s">
        <v>661</v>
      </c>
      <c r="G501" s="530" t="s">
        <v>639</v>
      </c>
      <c r="H501" s="528" t="s">
        <v>56</v>
      </c>
      <c r="I501" s="529" t="s">
        <v>57</v>
      </c>
      <c r="J501" s="528" t="s">
        <v>58</v>
      </c>
      <c r="K501" s="515" t="s">
        <v>59</v>
      </c>
      <c r="L501" s="527">
        <v>9.8000000000000007</v>
      </c>
      <c r="M501" s="526" t="s">
        <v>60</v>
      </c>
    </row>
    <row r="502" spans="1:13">
      <c r="A502" s="525" t="s">
        <v>430</v>
      </c>
      <c r="B502" s="520" t="s">
        <v>431</v>
      </c>
      <c r="C502" s="519">
        <v>4310</v>
      </c>
      <c r="D502" s="519">
        <v>12183770</v>
      </c>
      <c r="E502" s="519" t="s">
        <v>53</v>
      </c>
      <c r="F502" s="524" t="s">
        <v>662</v>
      </c>
      <c r="G502" s="523" t="s">
        <v>639</v>
      </c>
      <c r="H502" s="522" t="s">
        <v>56</v>
      </c>
      <c r="I502" s="516" t="s">
        <v>57</v>
      </c>
      <c r="J502" s="522" t="s">
        <v>58</v>
      </c>
      <c r="K502" s="515" t="s">
        <v>59</v>
      </c>
      <c r="L502" s="521">
        <v>9.8000000000000007</v>
      </c>
      <c r="M502" s="520" t="s">
        <v>60</v>
      </c>
    </row>
    <row r="503" spans="1:13">
      <c r="A503" s="525" t="s">
        <v>430</v>
      </c>
      <c r="B503" s="520" t="s">
        <v>431</v>
      </c>
      <c r="C503" s="519" t="s">
        <v>663</v>
      </c>
      <c r="D503" s="519">
        <v>12183770</v>
      </c>
      <c r="E503" s="522" t="s">
        <v>200</v>
      </c>
      <c r="F503" s="518" t="s">
        <v>664</v>
      </c>
      <c r="G503" s="523" t="s">
        <v>639</v>
      </c>
      <c r="H503" s="522" t="s">
        <v>56</v>
      </c>
      <c r="I503" s="516" t="s">
        <v>57</v>
      </c>
      <c r="J503" s="522" t="s">
        <v>58</v>
      </c>
      <c r="K503" s="515" t="s">
        <v>59</v>
      </c>
      <c r="L503" s="521">
        <v>9.8000000000000007</v>
      </c>
      <c r="M503" s="514"/>
    </row>
    <row r="504" spans="1:13">
      <c r="A504" s="525" t="s">
        <v>665</v>
      </c>
      <c r="B504" s="520" t="s">
        <v>666</v>
      </c>
      <c r="C504" s="519" t="s">
        <v>1049</v>
      </c>
      <c r="D504" s="519" t="s">
        <v>1049</v>
      </c>
      <c r="E504" s="519" t="s">
        <v>53</v>
      </c>
      <c r="F504" s="524" t="s">
        <v>667</v>
      </c>
      <c r="G504" s="523" t="s">
        <v>668</v>
      </c>
      <c r="H504" s="522" t="s">
        <v>428</v>
      </c>
      <c r="I504" s="516" t="s">
        <v>669</v>
      </c>
      <c r="J504" s="522" t="s">
        <v>118</v>
      </c>
      <c r="K504" s="515" t="s">
        <v>59</v>
      </c>
      <c r="L504" s="521">
        <v>4.9000000000000004</v>
      </c>
      <c r="M504" s="520" t="s">
        <v>60</v>
      </c>
    </row>
    <row r="505" spans="1:13">
      <c r="A505" s="525" t="s">
        <v>665</v>
      </c>
      <c r="B505" s="520" t="s">
        <v>666</v>
      </c>
      <c r="C505" s="519" t="s">
        <v>1049</v>
      </c>
      <c r="D505" s="519" t="s">
        <v>1049</v>
      </c>
      <c r="E505" s="519" t="s">
        <v>53</v>
      </c>
      <c r="F505" s="524" t="s">
        <v>667</v>
      </c>
      <c r="G505" s="523" t="s">
        <v>668</v>
      </c>
      <c r="H505" s="522" t="s">
        <v>428</v>
      </c>
      <c r="I505" s="516" t="s">
        <v>670</v>
      </c>
      <c r="J505" s="522" t="s">
        <v>118</v>
      </c>
      <c r="K505" s="515" t="s">
        <v>59</v>
      </c>
      <c r="L505" s="521">
        <v>1.9</v>
      </c>
      <c r="M505" s="520" t="s">
        <v>60</v>
      </c>
    </row>
    <row r="506" spans="1:13">
      <c r="A506" s="525" t="s">
        <v>665</v>
      </c>
      <c r="B506" s="520" t="s">
        <v>666</v>
      </c>
      <c r="C506" s="519" t="s">
        <v>1049</v>
      </c>
      <c r="D506" s="519" t="s">
        <v>1049</v>
      </c>
      <c r="E506" s="519" t="s">
        <v>53</v>
      </c>
      <c r="F506" s="524" t="s">
        <v>667</v>
      </c>
      <c r="G506" s="523" t="s">
        <v>668</v>
      </c>
      <c r="H506" s="522" t="s">
        <v>428</v>
      </c>
      <c r="I506" s="516" t="s">
        <v>671</v>
      </c>
      <c r="J506" s="522" t="s">
        <v>118</v>
      </c>
      <c r="K506" s="515" t="s">
        <v>59</v>
      </c>
      <c r="L506" s="521">
        <v>3.05</v>
      </c>
      <c r="M506" s="520" t="s">
        <v>60</v>
      </c>
    </row>
    <row r="507" spans="1:13">
      <c r="A507" s="525" t="s">
        <v>665</v>
      </c>
      <c r="B507" s="520" t="s">
        <v>666</v>
      </c>
      <c r="C507" s="519" t="s">
        <v>1049</v>
      </c>
      <c r="D507" s="519" t="s">
        <v>1049</v>
      </c>
      <c r="E507" s="519" t="s">
        <v>53</v>
      </c>
      <c r="F507" s="524" t="s">
        <v>667</v>
      </c>
      <c r="G507" s="523" t="s">
        <v>668</v>
      </c>
      <c r="H507" s="522" t="s">
        <v>428</v>
      </c>
      <c r="I507" s="516" t="s">
        <v>672</v>
      </c>
      <c r="J507" s="522" t="s">
        <v>118</v>
      </c>
      <c r="K507" s="515" t="s">
        <v>59</v>
      </c>
      <c r="L507" s="521">
        <v>3.95</v>
      </c>
      <c r="M507" s="520" t="s">
        <v>60</v>
      </c>
    </row>
    <row r="508" spans="1:13">
      <c r="A508" s="525" t="s">
        <v>1048</v>
      </c>
      <c r="B508" s="520" t="s">
        <v>673</v>
      </c>
      <c r="C508" s="519">
        <v>2420</v>
      </c>
      <c r="D508" s="519">
        <v>12197370</v>
      </c>
      <c r="E508" s="519" t="s">
        <v>53</v>
      </c>
      <c r="F508" s="524" t="s">
        <v>674</v>
      </c>
      <c r="G508" s="523" t="s">
        <v>288</v>
      </c>
      <c r="H508" s="522" t="s">
        <v>56</v>
      </c>
      <c r="I508" s="516" t="s">
        <v>625</v>
      </c>
      <c r="J508" s="522" t="s">
        <v>58</v>
      </c>
      <c r="K508" s="515" t="s">
        <v>626</v>
      </c>
      <c r="L508" s="521">
        <v>5.8</v>
      </c>
      <c r="M508" s="520" t="s">
        <v>60</v>
      </c>
    </row>
    <row r="509" spans="1:13">
      <c r="A509" s="525" t="s">
        <v>1048</v>
      </c>
      <c r="B509" s="520" t="s">
        <v>673</v>
      </c>
      <c r="C509" s="519">
        <v>2424</v>
      </c>
      <c r="D509" s="519" t="s">
        <v>675</v>
      </c>
      <c r="E509" s="519" t="s">
        <v>53</v>
      </c>
      <c r="F509" s="524" t="s">
        <v>676</v>
      </c>
      <c r="G509" s="523" t="s">
        <v>288</v>
      </c>
      <c r="H509" s="522" t="s">
        <v>56</v>
      </c>
      <c r="I509" s="516" t="s">
        <v>625</v>
      </c>
      <c r="J509" s="522" t="s">
        <v>58</v>
      </c>
      <c r="K509" s="515" t="s">
        <v>626</v>
      </c>
      <c r="L509" s="521">
        <v>5.8</v>
      </c>
      <c r="M509" s="520" t="s">
        <v>60</v>
      </c>
    </row>
    <row r="510" spans="1:13">
      <c r="A510" s="516"/>
      <c r="B510" s="517"/>
      <c r="C510" s="519"/>
      <c r="D510" s="519"/>
      <c r="E510" s="519"/>
      <c r="F510" s="518"/>
      <c r="G510" s="516"/>
      <c r="H510" s="517"/>
      <c r="I510" s="516"/>
      <c r="J510" s="516"/>
      <c r="K510" s="515"/>
      <c r="L510" s="515"/>
      <c r="M510" s="514"/>
    </row>
    <row r="511" spans="1:13">
      <c r="A511" s="516"/>
      <c r="B511" s="517"/>
      <c r="C511" s="519"/>
      <c r="D511" s="519"/>
      <c r="E511" s="519"/>
      <c r="F511" s="518"/>
      <c r="G511" s="516"/>
      <c r="H511" s="517"/>
      <c r="I511" s="516"/>
      <c r="J511" s="516"/>
      <c r="K511" s="515"/>
      <c r="L511" s="515"/>
    </row>
    <row r="512" spans="1:13">
      <c r="A512" s="516"/>
      <c r="B512" s="517"/>
      <c r="C512" s="519"/>
      <c r="D512" s="519"/>
      <c r="E512" s="519"/>
      <c r="F512" s="518"/>
      <c r="G512" s="516"/>
      <c r="H512" s="517"/>
      <c r="I512" s="516"/>
      <c r="J512" s="516"/>
      <c r="K512" s="515"/>
      <c r="L512" s="515"/>
      <c r="M512" s="514"/>
    </row>
    <row r="513" spans="1:13">
      <c r="A513" s="516"/>
      <c r="B513" s="517"/>
      <c r="C513" s="519"/>
      <c r="D513" s="519"/>
      <c r="E513" s="519"/>
      <c r="F513" s="518"/>
      <c r="G513" s="516"/>
      <c r="H513" s="517"/>
      <c r="I513" s="516"/>
      <c r="J513" s="516"/>
      <c r="K513" s="515"/>
      <c r="L513" s="515"/>
      <c r="M513" s="514"/>
    </row>
    <row r="514" spans="1:13">
      <c r="A514" s="516"/>
      <c r="B514" s="517"/>
      <c r="C514" s="519"/>
      <c r="D514" s="519"/>
      <c r="E514" s="519"/>
      <c r="F514" s="518"/>
      <c r="G514" s="516"/>
      <c r="H514" s="517"/>
      <c r="I514" s="516"/>
      <c r="J514" s="516"/>
      <c r="K514" s="515"/>
      <c r="L514" s="515"/>
      <c r="M514" s="514"/>
    </row>
    <row r="515" spans="1:13">
      <c r="A515" s="516"/>
      <c r="B515" s="517"/>
      <c r="C515" s="519"/>
      <c r="D515" s="519"/>
      <c r="E515" s="519"/>
      <c r="F515" s="518"/>
      <c r="G515" s="516"/>
      <c r="H515" s="517"/>
      <c r="I515" s="516"/>
      <c r="J515" s="516"/>
      <c r="K515" s="515"/>
      <c r="L515" s="515"/>
      <c r="M515" s="514"/>
    </row>
    <row r="516" spans="1:13">
      <c r="A516" s="516"/>
      <c r="B516" s="517"/>
      <c r="C516" s="519"/>
      <c r="D516" s="519"/>
      <c r="E516" s="519"/>
      <c r="F516" s="518"/>
      <c r="G516" s="516"/>
      <c r="H516" s="517"/>
      <c r="I516" s="516"/>
      <c r="J516" s="516"/>
      <c r="K516" s="515"/>
      <c r="L516" s="515"/>
      <c r="M516" s="514"/>
    </row>
    <row r="517" spans="1:13">
      <c r="A517" s="516"/>
      <c r="B517" s="517"/>
      <c r="C517" s="519"/>
      <c r="D517" s="519"/>
      <c r="E517" s="519"/>
      <c r="F517" s="518"/>
      <c r="G517" s="516"/>
      <c r="H517" s="517"/>
      <c r="I517" s="516"/>
      <c r="J517" s="516"/>
      <c r="K517" s="515"/>
      <c r="L517" s="515"/>
      <c r="M517" s="514"/>
    </row>
    <row r="518" spans="1:13">
      <c r="A518" s="516"/>
      <c r="B518" s="517"/>
      <c r="C518" s="519"/>
      <c r="D518" s="519"/>
      <c r="E518" s="519"/>
      <c r="F518" s="518"/>
      <c r="G518" s="516"/>
      <c r="H518" s="517"/>
      <c r="I518" s="516"/>
      <c r="J518" s="516"/>
      <c r="K518" s="515"/>
      <c r="L518" s="515"/>
      <c r="M518" s="514"/>
    </row>
    <row r="519" spans="1:13">
      <c r="A519" s="516"/>
      <c r="B519" s="517"/>
      <c r="C519" s="519"/>
      <c r="D519" s="519"/>
      <c r="E519" s="519"/>
      <c r="F519" s="518"/>
      <c r="G519" s="516"/>
      <c r="H519" s="517"/>
      <c r="I519" s="516"/>
      <c r="J519" s="516"/>
      <c r="K519" s="515"/>
      <c r="L519" s="515"/>
      <c r="M519" s="514"/>
    </row>
    <row r="520" spans="1:13">
      <c r="A520" s="516"/>
      <c r="B520" s="517"/>
      <c r="C520" s="519"/>
      <c r="D520" s="519"/>
      <c r="E520" s="519"/>
      <c r="F520" s="518"/>
      <c r="G520" s="516"/>
      <c r="H520" s="517"/>
      <c r="I520" s="516"/>
      <c r="J520" s="516"/>
      <c r="K520" s="515"/>
      <c r="L520" s="515"/>
      <c r="M520" s="514"/>
    </row>
    <row r="521" spans="1:13">
      <c r="A521" s="516"/>
      <c r="B521" s="517"/>
      <c r="C521" s="519"/>
      <c r="D521" s="519"/>
      <c r="E521" s="519"/>
      <c r="F521" s="518"/>
      <c r="G521" s="516"/>
      <c r="H521" s="517"/>
      <c r="I521" s="516"/>
      <c r="J521" s="516"/>
      <c r="K521" s="515"/>
      <c r="L521" s="515"/>
      <c r="M521" s="514"/>
    </row>
    <row r="522" spans="1:13">
      <c r="A522" s="516"/>
      <c r="B522" s="517"/>
      <c r="C522" s="519"/>
      <c r="D522" s="519"/>
      <c r="E522" s="519"/>
      <c r="F522" s="518"/>
      <c r="G522" s="516"/>
      <c r="H522" s="517"/>
      <c r="I522" s="516"/>
      <c r="J522" s="516"/>
      <c r="K522" s="515"/>
      <c r="L522" s="515"/>
      <c r="M522" s="514"/>
    </row>
    <row r="523" spans="1:13">
      <c r="A523" s="516"/>
      <c r="B523" s="517"/>
      <c r="C523" s="519"/>
      <c r="D523" s="519"/>
      <c r="E523" s="519"/>
      <c r="F523" s="518"/>
      <c r="G523" s="516"/>
      <c r="H523" s="517"/>
      <c r="I523" s="516"/>
      <c r="J523" s="516"/>
      <c r="K523" s="515"/>
      <c r="L523" s="515"/>
      <c r="M523" s="514"/>
    </row>
    <row r="524" spans="1:13">
      <c r="A524" s="516"/>
      <c r="B524" s="517"/>
      <c r="C524" s="519"/>
      <c r="D524" s="519"/>
      <c r="E524" s="519"/>
      <c r="F524" s="518"/>
      <c r="G524" s="516"/>
      <c r="H524" s="517"/>
      <c r="I524" s="516"/>
      <c r="J524" s="516"/>
      <c r="K524" s="515"/>
      <c r="L524" s="515"/>
      <c r="M524" s="514"/>
    </row>
    <row r="525" spans="1:13">
      <c r="A525" s="516"/>
      <c r="B525" s="517"/>
      <c r="C525" s="519"/>
      <c r="D525" s="519"/>
      <c r="E525" s="519"/>
      <c r="F525" s="518"/>
      <c r="G525" s="516"/>
      <c r="H525" s="517"/>
      <c r="I525" s="516"/>
      <c r="J525" s="516"/>
      <c r="K525" s="515"/>
      <c r="L525" s="515"/>
      <c r="M525" s="514"/>
    </row>
    <row r="526" spans="1:13">
      <c r="A526" s="516"/>
      <c r="B526" s="517"/>
      <c r="C526" s="519"/>
      <c r="D526" s="519"/>
      <c r="E526" s="519"/>
      <c r="F526" s="518"/>
      <c r="G526" s="516"/>
      <c r="H526" s="517"/>
      <c r="I526" s="516"/>
      <c r="J526" s="516"/>
      <c r="K526" s="515"/>
      <c r="L526" s="515"/>
      <c r="M526" s="514"/>
    </row>
    <row r="527" spans="1:13">
      <c r="A527" s="516"/>
      <c r="B527" s="517"/>
      <c r="C527" s="519"/>
      <c r="D527" s="519"/>
      <c r="E527" s="519"/>
      <c r="F527" s="518"/>
      <c r="G527" s="516"/>
      <c r="H527" s="517"/>
      <c r="I527" s="516"/>
      <c r="J527" s="516"/>
      <c r="K527" s="515"/>
      <c r="L527" s="515"/>
      <c r="M527" s="514"/>
    </row>
    <row r="528" spans="1:13">
      <c r="A528" s="516"/>
      <c r="B528" s="517"/>
      <c r="C528" s="519"/>
      <c r="D528" s="519"/>
      <c r="E528" s="519"/>
      <c r="F528" s="518"/>
      <c r="G528" s="516"/>
      <c r="H528" s="517"/>
      <c r="I528" s="516"/>
      <c r="J528" s="516"/>
      <c r="K528" s="515"/>
      <c r="L528" s="515"/>
      <c r="M528" s="514"/>
    </row>
    <row r="529" spans="1:13">
      <c r="A529" s="516"/>
      <c r="B529" s="517"/>
      <c r="C529" s="519"/>
      <c r="D529" s="519"/>
      <c r="E529" s="519"/>
      <c r="F529" s="518"/>
      <c r="G529" s="516"/>
      <c r="H529" s="517"/>
      <c r="I529" s="516"/>
      <c r="J529" s="516"/>
      <c r="K529" s="515"/>
      <c r="L529" s="515"/>
      <c r="M529" s="514"/>
    </row>
    <row r="530" spans="1:13">
      <c r="A530" s="516"/>
      <c r="B530" s="517"/>
      <c r="C530" s="519"/>
      <c r="D530" s="519"/>
      <c r="E530" s="519"/>
      <c r="F530" s="518"/>
      <c r="G530" s="516"/>
      <c r="H530" s="517"/>
      <c r="I530" s="516"/>
      <c r="J530" s="516"/>
      <c r="K530" s="515"/>
      <c r="L530" s="515"/>
      <c r="M530" s="514"/>
    </row>
    <row r="531" spans="1:13">
      <c r="A531" s="516"/>
      <c r="B531" s="517"/>
      <c r="C531" s="519"/>
      <c r="D531" s="519"/>
      <c r="E531" s="519"/>
      <c r="F531" s="518"/>
      <c r="G531" s="516"/>
      <c r="H531" s="517"/>
      <c r="I531" s="516"/>
      <c r="J531" s="516"/>
      <c r="K531" s="515"/>
      <c r="L531" s="515"/>
      <c r="M531" s="514"/>
    </row>
    <row r="532" spans="1:13">
      <c r="A532" s="516"/>
      <c r="B532" s="517"/>
      <c r="C532" s="519"/>
      <c r="D532" s="519"/>
      <c r="E532" s="519"/>
      <c r="F532" s="518"/>
      <c r="G532" s="516"/>
      <c r="H532" s="517"/>
      <c r="I532" s="516"/>
      <c r="J532" s="516"/>
      <c r="K532" s="515"/>
      <c r="L532" s="515"/>
      <c r="M532" s="514"/>
    </row>
    <row r="533" spans="1:13">
      <c r="A533" s="516"/>
      <c r="B533" s="517"/>
      <c r="C533" s="519"/>
      <c r="D533" s="519"/>
      <c r="E533" s="519"/>
      <c r="F533" s="518"/>
      <c r="G533" s="516"/>
      <c r="H533" s="517"/>
      <c r="I533" s="516"/>
      <c r="J533" s="516"/>
      <c r="K533" s="515"/>
      <c r="L533" s="515"/>
      <c r="M533" s="514"/>
    </row>
    <row r="534" spans="1:13">
      <c r="A534" s="516"/>
      <c r="B534" s="517"/>
      <c r="C534" s="519"/>
      <c r="D534" s="519"/>
      <c r="E534" s="519"/>
      <c r="F534" s="518"/>
      <c r="G534" s="516"/>
      <c r="H534" s="517"/>
      <c r="I534" s="516"/>
      <c r="J534" s="516"/>
      <c r="K534" s="515"/>
      <c r="L534" s="515"/>
      <c r="M534" s="514"/>
    </row>
    <row r="535" spans="1:13">
      <c r="A535" s="516"/>
      <c r="B535" s="517"/>
      <c r="C535" s="519"/>
      <c r="D535" s="519"/>
      <c r="E535" s="519"/>
      <c r="F535" s="518"/>
      <c r="G535" s="516"/>
      <c r="H535" s="517"/>
      <c r="I535" s="516"/>
      <c r="J535" s="516"/>
      <c r="K535" s="515"/>
      <c r="L535" s="515"/>
      <c r="M535" s="514"/>
    </row>
    <row r="536" spans="1:13">
      <c r="A536" s="516"/>
      <c r="B536" s="517"/>
      <c r="C536" s="519"/>
      <c r="D536" s="519"/>
      <c r="E536" s="519"/>
      <c r="F536" s="518"/>
      <c r="G536" s="516"/>
      <c r="H536" s="517"/>
      <c r="I536" s="516"/>
      <c r="J536" s="516"/>
      <c r="K536" s="515"/>
      <c r="L536" s="515"/>
      <c r="M536" s="514"/>
    </row>
    <row r="537" spans="1:13">
      <c r="A537" s="516"/>
      <c r="B537" s="517"/>
      <c r="C537" s="519"/>
      <c r="D537" s="519"/>
      <c r="E537" s="519"/>
      <c r="F537" s="518"/>
      <c r="G537" s="516"/>
      <c r="H537" s="517"/>
      <c r="I537" s="516"/>
      <c r="J537" s="516"/>
      <c r="K537" s="515"/>
      <c r="L537" s="515"/>
      <c r="M537" s="514"/>
    </row>
    <row r="538" spans="1:13">
      <c r="A538" s="516"/>
      <c r="B538" s="517"/>
      <c r="C538" s="519"/>
      <c r="D538" s="519"/>
      <c r="E538" s="519"/>
      <c r="F538" s="518"/>
      <c r="G538" s="516"/>
      <c r="H538" s="517"/>
      <c r="I538" s="516"/>
      <c r="J538" s="516"/>
      <c r="K538" s="515"/>
      <c r="L538" s="515"/>
      <c r="M538" s="514"/>
    </row>
    <row r="539" spans="1:13">
      <c r="A539" s="516"/>
      <c r="B539" s="517"/>
      <c r="C539" s="519"/>
      <c r="D539" s="519"/>
      <c r="E539" s="519"/>
      <c r="F539" s="518"/>
      <c r="G539" s="516"/>
      <c r="H539" s="517"/>
      <c r="I539" s="516"/>
      <c r="J539" s="516"/>
      <c r="K539" s="515"/>
      <c r="L539" s="515"/>
      <c r="M539" s="514"/>
    </row>
    <row r="540" spans="1:13">
      <c r="A540" s="516"/>
      <c r="B540" s="517"/>
      <c r="C540" s="519"/>
      <c r="D540" s="519"/>
      <c r="E540" s="519"/>
      <c r="F540" s="518"/>
      <c r="G540" s="516"/>
      <c r="H540" s="517"/>
      <c r="I540" s="516"/>
      <c r="J540" s="516"/>
      <c r="K540" s="515"/>
      <c r="L540" s="515"/>
      <c r="M540" s="514"/>
    </row>
    <row r="541" spans="1:13">
      <c r="A541" s="516"/>
      <c r="B541" s="517"/>
      <c r="C541" s="519"/>
      <c r="D541" s="519"/>
      <c r="E541" s="519"/>
      <c r="F541" s="518"/>
      <c r="G541" s="516"/>
      <c r="H541" s="517"/>
      <c r="I541" s="516"/>
      <c r="J541" s="516"/>
      <c r="K541" s="515"/>
      <c r="L541" s="515"/>
      <c r="M541" s="514"/>
    </row>
    <row r="542" spans="1:13">
      <c r="A542" s="516"/>
      <c r="B542" s="517"/>
      <c r="C542" s="519"/>
      <c r="D542" s="519"/>
      <c r="E542" s="519"/>
      <c r="F542" s="518"/>
      <c r="G542" s="516"/>
      <c r="H542" s="517"/>
      <c r="I542" s="516"/>
      <c r="J542" s="516"/>
      <c r="K542" s="515"/>
      <c r="L542" s="515"/>
      <c r="M542" s="514"/>
    </row>
    <row r="543" spans="1:13">
      <c r="A543" s="516"/>
      <c r="B543" s="517"/>
      <c r="C543" s="519"/>
      <c r="D543" s="519"/>
      <c r="E543" s="519"/>
      <c r="F543" s="518"/>
      <c r="G543" s="516"/>
      <c r="H543" s="517"/>
      <c r="I543" s="516"/>
      <c r="J543" s="516"/>
      <c r="K543" s="515"/>
      <c r="L543" s="515"/>
      <c r="M543" s="514"/>
    </row>
    <row r="544" spans="1:13">
      <c r="A544" s="516"/>
      <c r="B544" s="517"/>
      <c r="C544" s="519"/>
      <c r="D544" s="519"/>
      <c r="E544" s="519"/>
      <c r="F544" s="518"/>
      <c r="G544" s="516"/>
      <c r="H544" s="517"/>
      <c r="I544" s="516"/>
      <c r="J544" s="516"/>
      <c r="K544" s="515"/>
      <c r="L544" s="515"/>
      <c r="M544" s="514"/>
    </row>
    <row r="545" spans="1:13">
      <c r="A545" s="516"/>
      <c r="B545" s="517"/>
      <c r="C545" s="519"/>
      <c r="D545" s="519"/>
      <c r="E545" s="519"/>
      <c r="F545" s="518"/>
      <c r="G545" s="516"/>
      <c r="H545" s="517"/>
      <c r="I545" s="516"/>
      <c r="J545" s="516"/>
      <c r="K545" s="515"/>
      <c r="L545" s="515"/>
      <c r="M545" s="514"/>
    </row>
    <row r="546" spans="1:13">
      <c r="A546" s="516"/>
      <c r="B546" s="517"/>
      <c r="C546" s="519"/>
      <c r="D546" s="519"/>
      <c r="E546" s="519"/>
      <c r="F546" s="518"/>
      <c r="G546" s="516"/>
      <c r="H546" s="517"/>
      <c r="I546" s="516"/>
      <c r="J546" s="516"/>
      <c r="K546" s="515"/>
      <c r="L546" s="515"/>
      <c r="M546" s="514"/>
    </row>
    <row r="547" spans="1:13">
      <c r="A547" s="516"/>
      <c r="B547" s="517"/>
      <c r="C547" s="519"/>
      <c r="D547" s="519"/>
      <c r="E547" s="519"/>
      <c r="F547" s="518"/>
      <c r="G547" s="516"/>
      <c r="H547" s="517"/>
      <c r="I547" s="516"/>
      <c r="J547" s="516"/>
      <c r="K547" s="515"/>
      <c r="L547" s="515"/>
      <c r="M547" s="514"/>
    </row>
    <row r="548" spans="1:13">
      <c r="A548" s="516"/>
      <c r="B548" s="517"/>
      <c r="C548" s="519"/>
      <c r="D548" s="519"/>
      <c r="E548" s="519"/>
      <c r="F548" s="518"/>
      <c r="G548" s="516"/>
      <c r="H548" s="517"/>
      <c r="I548" s="516"/>
      <c r="J548" s="516"/>
      <c r="K548" s="515"/>
      <c r="L548" s="515"/>
      <c r="M548" s="514"/>
    </row>
    <row r="549" spans="1:13">
      <c r="A549" s="516"/>
      <c r="B549" s="517"/>
      <c r="C549" s="519"/>
      <c r="D549" s="519"/>
      <c r="E549" s="519"/>
      <c r="F549" s="518"/>
      <c r="G549" s="516"/>
      <c r="H549" s="517"/>
      <c r="I549" s="516"/>
      <c r="J549" s="516"/>
      <c r="K549" s="515"/>
      <c r="L549" s="515"/>
      <c r="M549" s="514"/>
    </row>
    <row r="550" spans="1:13">
      <c r="A550" s="516"/>
      <c r="B550" s="517"/>
      <c r="C550" s="519"/>
      <c r="D550" s="519"/>
      <c r="E550" s="519"/>
      <c r="F550" s="518"/>
      <c r="G550" s="516"/>
      <c r="H550" s="517"/>
      <c r="I550" s="516"/>
      <c r="J550" s="516"/>
      <c r="K550" s="515"/>
      <c r="L550" s="515"/>
      <c r="M550" s="514"/>
    </row>
    <row r="551" spans="1:13">
      <c r="A551" s="516"/>
      <c r="B551" s="517"/>
      <c r="C551" s="519"/>
      <c r="D551" s="519"/>
      <c r="E551" s="519"/>
      <c r="F551" s="518"/>
      <c r="G551" s="516"/>
      <c r="H551" s="517"/>
      <c r="I551" s="516"/>
      <c r="J551" s="516"/>
      <c r="K551" s="515"/>
      <c r="L551" s="515"/>
      <c r="M551" s="514"/>
    </row>
    <row r="552" spans="1:13">
      <c r="A552" s="516"/>
      <c r="B552" s="517"/>
      <c r="C552" s="519"/>
      <c r="D552" s="519"/>
      <c r="E552" s="519"/>
      <c r="F552" s="518"/>
      <c r="G552" s="516"/>
      <c r="H552" s="517"/>
      <c r="I552" s="516"/>
      <c r="J552" s="516"/>
      <c r="K552" s="515"/>
      <c r="L552" s="515"/>
      <c r="M552" s="514"/>
    </row>
    <row r="553" spans="1:13">
      <c r="A553" s="516"/>
      <c r="B553" s="517"/>
      <c r="C553" s="519"/>
      <c r="D553" s="519"/>
      <c r="E553" s="519"/>
      <c r="F553" s="518"/>
      <c r="G553" s="516"/>
      <c r="H553" s="517"/>
      <c r="I553" s="516"/>
      <c r="J553" s="516"/>
      <c r="K553" s="515"/>
      <c r="L553" s="515"/>
      <c r="M553" s="514"/>
    </row>
    <row r="554" spans="1:13">
      <c r="A554" s="516"/>
      <c r="B554" s="517"/>
      <c r="C554" s="519"/>
      <c r="D554" s="519"/>
      <c r="E554" s="519"/>
      <c r="F554" s="518"/>
      <c r="G554" s="516"/>
      <c r="H554" s="517"/>
      <c r="I554" s="516"/>
      <c r="J554" s="516"/>
      <c r="K554" s="515"/>
      <c r="L554" s="515"/>
      <c r="M554" s="514"/>
    </row>
    <row r="555" spans="1:13">
      <c r="A555" s="516"/>
      <c r="B555" s="517"/>
      <c r="C555" s="519"/>
      <c r="D555" s="519"/>
      <c r="E555" s="519"/>
      <c r="F555" s="518"/>
      <c r="G555" s="516"/>
      <c r="H555" s="517"/>
      <c r="I555" s="516"/>
      <c r="J555" s="516"/>
      <c r="K555" s="515"/>
      <c r="L555" s="515"/>
      <c r="M555" s="514"/>
    </row>
    <row r="556" spans="1:13">
      <c r="A556" s="516"/>
      <c r="B556" s="517"/>
      <c r="C556" s="519"/>
      <c r="D556" s="519"/>
      <c r="E556" s="519"/>
      <c r="F556" s="518"/>
      <c r="G556" s="516"/>
      <c r="H556" s="517"/>
      <c r="I556" s="516"/>
      <c r="J556" s="516"/>
      <c r="K556" s="515"/>
      <c r="L556" s="515"/>
      <c r="M556" s="514"/>
    </row>
    <row r="557" spans="1:13">
      <c r="A557" s="516"/>
      <c r="B557" s="517"/>
      <c r="C557" s="519"/>
      <c r="D557" s="519"/>
      <c r="E557" s="519"/>
      <c r="F557" s="518"/>
      <c r="G557" s="516"/>
      <c r="H557" s="517"/>
      <c r="I557" s="516"/>
      <c r="J557" s="516"/>
      <c r="K557" s="515"/>
      <c r="L557" s="515"/>
      <c r="M557" s="514"/>
    </row>
    <row r="558" spans="1:13">
      <c r="A558" s="516"/>
      <c r="B558" s="517"/>
      <c r="C558" s="519"/>
      <c r="D558" s="519"/>
      <c r="E558" s="519"/>
      <c r="F558" s="518"/>
      <c r="G558" s="516"/>
      <c r="H558" s="517"/>
      <c r="I558" s="516"/>
      <c r="J558" s="516"/>
      <c r="K558" s="515"/>
      <c r="L558" s="515"/>
      <c r="M558" s="514"/>
    </row>
    <row r="559" spans="1:13">
      <c r="A559" s="516"/>
      <c r="B559" s="517"/>
      <c r="C559" s="519"/>
      <c r="D559" s="519"/>
      <c r="E559" s="519"/>
      <c r="F559" s="518"/>
      <c r="G559" s="516"/>
      <c r="H559" s="517"/>
      <c r="I559" s="516"/>
      <c r="J559" s="516"/>
      <c r="K559" s="515"/>
      <c r="L559" s="515"/>
      <c r="M559" s="514"/>
    </row>
    <row r="560" spans="1:13">
      <c r="A560" s="516"/>
      <c r="B560" s="517"/>
      <c r="C560" s="519"/>
      <c r="D560" s="519"/>
      <c r="E560" s="519"/>
      <c r="F560" s="518"/>
      <c r="G560" s="516"/>
      <c r="H560" s="517"/>
      <c r="I560" s="516"/>
      <c r="J560" s="516"/>
      <c r="K560" s="515"/>
      <c r="L560" s="515"/>
      <c r="M560" s="514"/>
    </row>
    <row r="561" spans="1:13">
      <c r="A561" s="516"/>
      <c r="B561" s="517"/>
      <c r="C561" s="519"/>
      <c r="D561" s="519"/>
      <c r="E561" s="519"/>
      <c r="F561" s="518"/>
      <c r="G561" s="516"/>
      <c r="H561" s="517"/>
      <c r="I561" s="516"/>
      <c r="J561" s="516"/>
      <c r="K561" s="515"/>
      <c r="L561" s="515"/>
      <c r="M561" s="514"/>
    </row>
    <row r="562" spans="1:13">
      <c r="A562" s="516"/>
      <c r="B562" s="517"/>
      <c r="C562" s="519"/>
      <c r="D562" s="519"/>
      <c r="E562" s="519"/>
      <c r="F562" s="518"/>
      <c r="G562" s="516"/>
      <c r="H562" s="517"/>
      <c r="I562" s="516"/>
      <c r="J562" s="516"/>
      <c r="K562" s="515"/>
      <c r="L562" s="515"/>
      <c r="M562" s="514"/>
    </row>
    <row r="563" spans="1:13">
      <c r="A563" s="516"/>
      <c r="B563" s="517"/>
      <c r="C563" s="519"/>
      <c r="D563" s="519"/>
      <c r="E563" s="519"/>
      <c r="F563" s="518"/>
      <c r="G563" s="516"/>
      <c r="H563" s="517"/>
      <c r="I563" s="516"/>
      <c r="J563" s="516"/>
      <c r="K563" s="515"/>
      <c r="L563" s="515"/>
      <c r="M563" s="514"/>
    </row>
    <row r="564" spans="1:13">
      <c r="A564" s="516"/>
      <c r="B564" s="517"/>
      <c r="C564" s="519"/>
      <c r="D564" s="519"/>
      <c r="E564" s="519"/>
      <c r="F564" s="518"/>
      <c r="G564" s="516"/>
      <c r="H564" s="517"/>
      <c r="I564" s="516"/>
      <c r="J564" s="516"/>
      <c r="K564" s="515"/>
      <c r="L564" s="515"/>
      <c r="M564" s="514"/>
    </row>
    <row r="565" spans="1:13">
      <c r="A565" s="516"/>
      <c r="B565" s="517"/>
      <c r="C565" s="519"/>
      <c r="D565" s="519"/>
      <c r="E565" s="519"/>
      <c r="F565" s="518"/>
      <c r="G565" s="516"/>
      <c r="H565" s="517"/>
      <c r="I565" s="516"/>
      <c r="J565" s="516"/>
      <c r="K565" s="515"/>
      <c r="L565" s="515"/>
      <c r="M565" s="514"/>
    </row>
    <row r="566" spans="1:13">
      <c r="A566" s="516"/>
      <c r="B566" s="517"/>
      <c r="C566" s="519"/>
      <c r="D566" s="519"/>
      <c r="E566" s="519"/>
      <c r="F566" s="518"/>
      <c r="G566" s="516"/>
      <c r="H566" s="517"/>
      <c r="I566" s="516"/>
      <c r="J566" s="516"/>
      <c r="K566" s="515"/>
      <c r="L566" s="515"/>
      <c r="M566" s="514"/>
    </row>
    <row r="567" spans="1:13">
      <c r="A567" s="516"/>
      <c r="B567" s="517"/>
      <c r="C567" s="519"/>
      <c r="D567" s="519"/>
      <c r="E567" s="519"/>
      <c r="F567" s="518"/>
      <c r="G567" s="516"/>
      <c r="H567" s="517"/>
      <c r="I567" s="516"/>
      <c r="J567" s="516"/>
      <c r="K567" s="515"/>
      <c r="L567" s="515"/>
      <c r="M567" s="514"/>
    </row>
    <row r="568" spans="1:13">
      <c r="A568" s="516"/>
      <c r="B568" s="517"/>
      <c r="C568" s="519"/>
      <c r="D568" s="519"/>
      <c r="E568" s="519"/>
      <c r="F568" s="518"/>
      <c r="G568" s="516"/>
      <c r="H568" s="517"/>
      <c r="I568" s="516"/>
      <c r="J568" s="516"/>
      <c r="K568" s="515"/>
      <c r="L568" s="515"/>
      <c r="M568" s="514"/>
    </row>
    <row r="569" spans="1:13">
      <c r="A569" s="516"/>
      <c r="B569" s="517"/>
      <c r="C569" s="519"/>
      <c r="D569" s="519"/>
      <c r="E569" s="519"/>
      <c r="F569" s="518"/>
      <c r="G569" s="516"/>
      <c r="H569" s="517"/>
      <c r="I569" s="516"/>
      <c r="J569" s="516"/>
      <c r="K569" s="515"/>
      <c r="L569" s="515"/>
      <c r="M569" s="514"/>
    </row>
    <row r="570" spans="1:13">
      <c r="A570" s="516"/>
      <c r="B570" s="517"/>
      <c r="C570" s="519"/>
      <c r="D570" s="519"/>
      <c r="E570" s="519"/>
      <c r="F570" s="518"/>
      <c r="G570" s="516"/>
      <c r="H570" s="517"/>
      <c r="I570" s="516"/>
      <c r="J570" s="516"/>
      <c r="K570" s="515"/>
      <c r="L570" s="515"/>
      <c r="M570" s="514"/>
    </row>
    <row r="571" spans="1:13">
      <c r="A571" s="516"/>
      <c r="B571" s="517"/>
      <c r="C571" s="519"/>
      <c r="D571" s="519"/>
      <c r="E571" s="519"/>
      <c r="F571" s="518"/>
      <c r="G571" s="516"/>
      <c r="H571" s="517"/>
      <c r="I571" s="516"/>
      <c r="J571" s="516"/>
      <c r="K571" s="515"/>
      <c r="L571" s="515"/>
      <c r="M571" s="514"/>
    </row>
    <row r="572" spans="1:13">
      <c r="A572" s="516"/>
      <c r="B572" s="517"/>
      <c r="C572" s="519"/>
      <c r="D572" s="519"/>
      <c r="E572" s="519"/>
      <c r="F572" s="518"/>
      <c r="G572" s="516"/>
      <c r="H572" s="517"/>
      <c r="I572" s="516"/>
      <c r="J572" s="516"/>
      <c r="K572" s="515"/>
      <c r="L572" s="515"/>
      <c r="M572" s="514"/>
    </row>
    <row r="573" spans="1:13">
      <c r="A573" s="516"/>
      <c r="B573" s="517"/>
      <c r="C573" s="519"/>
      <c r="D573" s="519"/>
      <c r="E573" s="519"/>
      <c r="F573" s="518"/>
      <c r="G573" s="516"/>
      <c r="H573" s="517"/>
      <c r="I573" s="516"/>
      <c r="J573" s="516"/>
      <c r="K573" s="515"/>
      <c r="L573" s="515"/>
      <c r="M573" s="514"/>
    </row>
    <row r="574" spans="1:13">
      <c r="A574" s="516"/>
      <c r="B574" s="517"/>
      <c r="C574" s="519"/>
      <c r="D574" s="519"/>
      <c r="E574" s="519"/>
      <c r="F574" s="518"/>
      <c r="G574" s="516"/>
      <c r="H574" s="517"/>
      <c r="I574" s="516"/>
      <c r="J574" s="516"/>
      <c r="K574" s="515"/>
      <c r="L574" s="515"/>
      <c r="M574" s="514"/>
    </row>
    <row r="575" spans="1:13">
      <c r="A575" s="516"/>
      <c r="B575" s="517"/>
      <c r="C575" s="519"/>
      <c r="D575" s="519"/>
      <c r="E575" s="519"/>
      <c r="F575" s="518"/>
      <c r="G575" s="516"/>
      <c r="H575" s="517"/>
      <c r="I575" s="516"/>
      <c r="J575" s="516"/>
      <c r="K575" s="515"/>
      <c r="L575" s="515"/>
      <c r="M575" s="514"/>
    </row>
    <row r="576" spans="1:13">
      <c r="A576" s="516"/>
      <c r="B576" s="517"/>
      <c r="C576" s="519"/>
      <c r="D576" s="519"/>
      <c r="E576" s="519"/>
      <c r="F576" s="518"/>
      <c r="G576" s="516"/>
      <c r="H576" s="517"/>
      <c r="I576" s="516"/>
      <c r="J576" s="516"/>
      <c r="K576" s="515"/>
      <c r="L576" s="515"/>
      <c r="M576" s="514"/>
    </row>
    <row r="577" spans="1:13">
      <c r="A577" s="516"/>
      <c r="B577" s="517"/>
      <c r="C577" s="519"/>
      <c r="D577" s="519"/>
      <c r="E577" s="519"/>
      <c r="F577" s="518"/>
      <c r="G577" s="516"/>
      <c r="H577" s="517"/>
      <c r="I577" s="516"/>
      <c r="J577" s="516"/>
      <c r="K577" s="515"/>
      <c r="L577" s="515"/>
      <c r="M577" s="514"/>
    </row>
    <row r="578" spans="1:13">
      <c r="A578" s="516"/>
      <c r="B578" s="517"/>
      <c r="C578" s="519"/>
      <c r="D578" s="519"/>
      <c r="E578" s="519"/>
      <c r="F578" s="518"/>
      <c r="G578" s="516"/>
      <c r="H578" s="517"/>
      <c r="I578" s="516"/>
      <c r="J578" s="516"/>
      <c r="K578" s="515"/>
      <c r="L578" s="515"/>
      <c r="M578" s="514"/>
    </row>
    <row r="579" spans="1:13">
      <c r="A579" s="516"/>
      <c r="B579" s="517"/>
      <c r="C579" s="519"/>
      <c r="D579" s="519"/>
      <c r="E579" s="519"/>
      <c r="F579" s="518"/>
      <c r="G579" s="516"/>
      <c r="H579" s="517"/>
      <c r="I579" s="516"/>
      <c r="J579" s="516"/>
      <c r="K579" s="515"/>
      <c r="L579" s="515"/>
      <c r="M579" s="514"/>
    </row>
    <row r="580" spans="1:13">
      <c r="A580" s="516"/>
      <c r="B580" s="517"/>
      <c r="C580" s="519"/>
      <c r="D580" s="519"/>
      <c r="E580" s="519"/>
      <c r="F580" s="518"/>
      <c r="G580" s="516"/>
      <c r="H580" s="517"/>
      <c r="I580" s="516"/>
      <c r="J580" s="516"/>
      <c r="K580" s="515"/>
      <c r="L580" s="515"/>
      <c r="M580" s="514"/>
    </row>
    <row r="581" spans="1:13">
      <c r="A581" s="516"/>
      <c r="B581" s="517"/>
      <c r="C581" s="519"/>
      <c r="D581" s="519"/>
      <c r="E581" s="519"/>
      <c r="F581" s="518"/>
      <c r="G581" s="516"/>
      <c r="H581" s="517"/>
      <c r="I581" s="516"/>
      <c r="J581" s="516"/>
      <c r="K581" s="515"/>
      <c r="L581" s="515"/>
      <c r="M581" s="514"/>
    </row>
    <row r="582" spans="1:13">
      <c r="A582" s="516"/>
      <c r="B582" s="517"/>
      <c r="C582" s="519"/>
      <c r="D582" s="519"/>
      <c r="E582" s="519"/>
      <c r="F582" s="518"/>
      <c r="G582" s="516"/>
      <c r="H582" s="517"/>
      <c r="I582" s="516"/>
      <c r="J582" s="516"/>
      <c r="K582" s="515"/>
      <c r="L582" s="515"/>
      <c r="M582" s="514"/>
    </row>
    <row r="583" spans="1:13">
      <c r="A583" s="516"/>
      <c r="B583" s="517"/>
      <c r="C583" s="519"/>
      <c r="D583" s="519"/>
      <c r="E583" s="519"/>
      <c r="F583" s="518"/>
      <c r="G583" s="516"/>
      <c r="H583" s="517"/>
      <c r="I583" s="516"/>
      <c r="J583" s="516"/>
      <c r="K583" s="515"/>
      <c r="L583" s="515"/>
      <c r="M583" s="514"/>
    </row>
    <row r="584" spans="1:13">
      <c r="A584" s="516"/>
      <c r="B584" s="517"/>
      <c r="C584" s="519"/>
      <c r="D584" s="519"/>
      <c r="E584" s="519"/>
      <c r="F584" s="518"/>
      <c r="G584" s="516"/>
      <c r="H584" s="517"/>
      <c r="I584" s="516"/>
      <c r="J584" s="516"/>
      <c r="K584" s="515"/>
      <c r="L584" s="515"/>
      <c r="M584" s="514"/>
    </row>
    <row r="585" spans="1:13">
      <c r="A585" s="516"/>
      <c r="B585" s="517"/>
      <c r="C585" s="519"/>
      <c r="D585" s="519"/>
      <c r="E585" s="519"/>
      <c r="F585" s="518"/>
      <c r="G585" s="516"/>
      <c r="H585" s="517"/>
      <c r="I585" s="516"/>
      <c r="J585" s="516"/>
      <c r="K585" s="515"/>
      <c r="L585" s="515"/>
      <c r="M585" s="514"/>
    </row>
    <row r="586" spans="1:13">
      <c r="A586" s="516"/>
      <c r="B586" s="517"/>
      <c r="C586" s="519"/>
      <c r="D586" s="519"/>
      <c r="E586" s="519"/>
      <c r="F586" s="518"/>
      <c r="G586" s="516"/>
      <c r="H586" s="517"/>
      <c r="I586" s="516"/>
      <c r="J586" s="516"/>
      <c r="K586" s="515"/>
      <c r="L586" s="515"/>
      <c r="M586" s="514"/>
    </row>
    <row r="587" spans="1:13">
      <c r="A587" s="516"/>
      <c r="B587" s="517"/>
      <c r="C587" s="519"/>
      <c r="D587" s="519"/>
      <c r="E587" s="519"/>
      <c r="F587" s="518"/>
      <c r="G587" s="516"/>
      <c r="H587" s="517"/>
      <c r="I587" s="516"/>
      <c r="J587" s="516"/>
      <c r="K587" s="515"/>
      <c r="L587" s="515"/>
      <c r="M587" s="514"/>
    </row>
    <row r="588" spans="1:13">
      <c r="A588" s="516"/>
      <c r="B588" s="517"/>
      <c r="C588" s="519"/>
      <c r="D588" s="519"/>
      <c r="E588" s="519"/>
      <c r="F588" s="518"/>
      <c r="G588" s="516"/>
      <c r="H588" s="517"/>
      <c r="I588" s="516"/>
      <c r="J588" s="516"/>
      <c r="K588" s="515"/>
      <c r="L588" s="515"/>
      <c r="M588" s="514"/>
    </row>
    <row r="589" spans="1:13">
      <c r="A589" s="516"/>
      <c r="B589" s="517"/>
      <c r="C589" s="519"/>
      <c r="D589" s="519"/>
      <c r="E589" s="519"/>
      <c r="F589" s="518"/>
      <c r="G589" s="516"/>
      <c r="H589" s="517"/>
      <c r="I589" s="516"/>
      <c r="J589" s="516"/>
      <c r="K589" s="515"/>
      <c r="L589" s="515"/>
      <c r="M589" s="514"/>
    </row>
    <row r="590" spans="1:13">
      <c r="A590" s="516"/>
      <c r="B590" s="517"/>
      <c r="C590" s="519"/>
      <c r="D590" s="519"/>
      <c r="E590" s="519"/>
      <c r="F590" s="518"/>
      <c r="G590" s="516"/>
      <c r="H590" s="517"/>
      <c r="I590" s="516"/>
      <c r="J590" s="516"/>
      <c r="K590" s="515"/>
      <c r="L590" s="515"/>
      <c r="M590" s="514"/>
    </row>
    <row r="591" spans="1:13">
      <c r="A591" s="516"/>
      <c r="B591" s="517"/>
      <c r="C591" s="519"/>
      <c r="D591" s="519"/>
      <c r="E591" s="519"/>
      <c r="F591" s="518"/>
      <c r="G591" s="516"/>
      <c r="H591" s="517"/>
      <c r="I591" s="516"/>
      <c r="J591" s="516"/>
      <c r="K591" s="515"/>
      <c r="L591" s="515"/>
      <c r="M591" s="514"/>
    </row>
    <row r="592" spans="1:13">
      <c r="A592" s="516"/>
      <c r="B592" s="517"/>
      <c r="C592" s="519"/>
      <c r="D592" s="519"/>
      <c r="E592" s="519"/>
      <c r="F592" s="518"/>
      <c r="G592" s="516"/>
      <c r="H592" s="517"/>
      <c r="I592" s="516"/>
      <c r="J592" s="516"/>
      <c r="K592" s="515"/>
      <c r="L592" s="515"/>
      <c r="M592" s="514"/>
    </row>
    <row r="593" spans="1:13">
      <c r="A593" s="516"/>
      <c r="B593" s="517"/>
      <c r="C593" s="519"/>
      <c r="D593" s="519"/>
      <c r="E593" s="519"/>
      <c r="F593" s="518"/>
      <c r="G593" s="516"/>
      <c r="H593" s="517"/>
      <c r="I593" s="516"/>
      <c r="J593" s="516"/>
      <c r="K593" s="515"/>
      <c r="L593" s="515"/>
      <c r="M593" s="514"/>
    </row>
    <row r="594" spans="1:13">
      <c r="A594" s="516"/>
      <c r="B594" s="517"/>
      <c r="C594" s="519"/>
      <c r="D594" s="519"/>
      <c r="E594" s="519"/>
      <c r="F594" s="518"/>
      <c r="G594" s="516"/>
      <c r="H594" s="517"/>
      <c r="I594" s="516"/>
      <c r="J594" s="516"/>
      <c r="K594" s="515"/>
      <c r="L594" s="515"/>
      <c r="M594" s="514"/>
    </row>
    <row r="595" spans="1:13">
      <c r="A595" s="516"/>
      <c r="B595" s="517"/>
      <c r="C595" s="519"/>
      <c r="D595" s="519"/>
      <c r="E595" s="519"/>
      <c r="F595" s="518"/>
      <c r="G595" s="516"/>
      <c r="H595" s="517"/>
      <c r="I595" s="516"/>
      <c r="J595" s="516"/>
      <c r="K595" s="515"/>
      <c r="L595" s="515"/>
      <c r="M595" s="514"/>
    </row>
    <row r="596" spans="1:13">
      <c r="A596" s="516"/>
      <c r="B596" s="517"/>
      <c r="C596" s="519"/>
      <c r="D596" s="519"/>
      <c r="E596" s="519"/>
      <c r="F596" s="518"/>
      <c r="G596" s="516"/>
      <c r="H596" s="517"/>
      <c r="I596" s="516"/>
      <c r="J596" s="516"/>
      <c r="K596" s="515"/>
      <c r="L596" s="515"/>
      <c r="M596" s="514"/>
    </row>
    <row r="597" spans="1:13">
      <c r="A597" s="516"/>
      <c r="B597" s="517"/>
      <c r="C597" s="519"/>
      <c r="D597" s="519"/>
      <c r="E597" s="519"/>
      <c r="F597" s="518"/>
      <c r="G597" s="516"/>
      <c r="H597" s="517"/>
      <c r="I597" s="516"/>
      <c r="J597" s="516"/>
      <c r="K597" s="515"/>
      <c r="L597" s="515"/>
      <c r="M597" s="514"/>
    </row>
    <row r="598" spans="1:13">
      <c r="A598" s="516"/>
      <c r="B598" s="517"/>
      <c r="C598" s="519"/>
      <c r="D598" s="519"/>
      <c r="E598" s="519"/>
      <c r="F598" s="518"/>
      <c r="G598" s="516"/>
      <c r="H598" s="517"/>
      <c r="I598" s="516"/>
      <c r="J598" s="516"/>
      <c r="K598" s="515"/>
      <c r="L598" s="515"/>
      <c r="M598" s="514"/>
    </row>
    <row r="599" spans="1:13">
      <c r="A599" s="516"/>
      <c r="B599" s="517"/>
      <c r="C599" s="519"/>
      <c r="D599" s="519"/>
      <c r="E599" s="519"/>
      <c r="F599" s="518"/>
      <c r="G599" s="516"/>
      <c r="H599" s="517"/>
      <c r="I599" s="516"/>
      <c r="J599" s="516"/>
      <c r="K599" s="515"/>
      <c r="L599" s="515"/>
      <c r="M599" s="514"/>
    </row>
    <row r="600" spans="1:13">
      <c r="A600" s="516"/>
      <c r="B600" s="517"/>
      <c r="C600" s="519"/>
      <c r="D600" s="519"/>
      <c r="E600" s="519"/>
      <c r="F600" s="518"/>
      <c r="G600" s="516"/>
      <c r="H600" s="517"/>
      <c r="I600" s="516"/>
      <c r="J600" s="516"/>
      <c r="K600" s="515"/>
      <c r="L600" s="515"/>
      <c r="M600" s="514"/>
    </row>
    <row r="601" spans="1:13">
      <c r="A601" s="516"/>
      <c r="B601" s="517"/>
      <c r="C601" s="519"/>
      <c r="D601" s="519"/>
      <c r="E601" s="519"/>
      <c r="F601" s="518"/>
      <c r="G601" s="516"/>
      <c r="H601" s="517"/>
      <c r="I601" s="516"/>
      <c r="J601" s="516"/>
      <c r="K601" s="515"/>
      <c r="L601" s="515"/>
      <c r="M601" s="514"/>
    </row>
    <row r="602" spans="1:13">
      <c r="A602" s="516"/>
      <c r="B602" s="517"/>
      <c r="C602" s="519"/>
      <c r="D602" s="519"/>
      <c r="E602" s="519"/>
      <c r="F602" s="518"/>
      <c r="G602" s="516"/>
      <c r="H602" s="517"/>
      <c r="I602" s="516"/>
      <c r="J602" s="516"/>
      <c r="K602" s="515"/>
      <c r="L602" s="515"/>
      <c r="M602" s="514"/>
    </row>
    <row r="603" spans="1:13">
      <c r="A603" s="516"/>
      <c r="B603" s="517"/>
      <c r="C603" s="519"/>
      <c r="D603" s="519"/>
      <c r="E603" s="519"/>
      <c r="F603" s="518"/>
      <c r="G603" s="516"/>
      <c r="H603" s="517"/>
      <c r="I603" s="516"/>
      <c r="J603" s="516"/>
      <c r="K603" s="515"/>
      <c r="L603" s="515"/>
      <c r="M603" s="514"/>
    </row>
    <row r="604" spans="1:13">
      <c r="A604" s="516"/>
      <c r="B604" s="517"/>
      <c r="C604" s="519"/>
      <c r="D604" s="519"/>
      <c r="E604" s="519"/>
      <c r="F604" s="518"/>
      <c r="G604" s="516"/>
      <c r="H604" s="517"/>
      <c r="I604" s="516"/>
      <c r="J604" s="516"/>
      <c r="K604" s="515"/>
      <c r="L604" s="515"/>
      <c r="M604" s="514"/>
    </row>
    <row r="605" spans="1:13">
      <c r="A605" s="516"/>
      <c r="B605" s="517"/>
      <c r="C605" s="519"/>
      <c r="D605" s="519"/>
      <c r="E605" s="519"/>
      <c r="F605" s="518"/>
      <c r="G605" s="516"/>
      <c r="H605" s="517"/>
      <c r="I605" s="516"/>
      <c r="J605" s="516"/>
      <c r="K605" s="515"/>
      <c r="L605" s="515"/>
      <c r="M605" s="514"/>
    </row>
    <row r="606" spans="1:13">
      <c r="A606" s="516"/>
      <c r="B606" s="517"/>
      <c r="C606" s="519"/>
      <c r="D606" s="519"/>
      <c r="E606" s="519"/>
      <c r="F606" s="518"/>
      <c r="G606" s="516"/>
      <c r="H606" s="517"/>
      <c r="I606" s="516"/>
      <c r="J606" s="516"/>
      <c r="K606" s="515"/>
      <c r="L606" s="515"/>
      <c r="M606" s="514"/>
    </row>
    <row r="607" spans="1:13">
      <c r="A607" s="516"/>
      <c r="B607" s="517"/>
      <c r="C607" s="519"/>
      <c r="D607" s="519"/>
      <c r="E607" s="519"/>
      <c r="F607" s="518"/>
      <c r="G607" s="516"/>
      <c r="H607" s="517"/>
      <c r="I607" s="516"/>
      <c r="J607" s="516"/>
      <c r="K607" s="515"/>
      <c r="L607" s="515"/>
      <c r="M607" s="514"/>
    </row>
    <row r="608" spans="1:13">
      <c r="A608" s="516"/>
      <c r="B608" s="517"/>
      <c r="C608" s="519"/>
      <c r="D608" s="519"/>
      <c r="E608" s="519"/>
      <c r="F608" s="518"/>
      <c r="G608" s="516"/>
      <c r="H608" s="517"/>
      <c r="I608" s="516"/>
      <c r="J608" s="516"/>
      <c r="K608" s="515"/>
      <c r="L608" s="515"/>
      <c r="M608" s="514"/>
    </row>
    <row r="609" spans="1:13">
      <c r="A609" s="516"/>
      <c r="B609" s="517"/>
      <c r="C609" s="519"/>
      <c r="D609" s="519"/>
      <c r="E609" s="519"/>
      <c r="F609" s="518"/>
      <c r="G609" s="516"/>
      <c r="H609" s="517"/>
      <c r="I609" s="516"/>
      <c r="J609" s="516"/>
      <c r="K609" s="515"/>
      <c r="L609" s="515"/>
      <c r="M609" s="514"/>
    </row>
    <row r="610" spans="1:13">
      <c r="A610" s="516"/>
      <c r="B610" s="517"/>
      <c r="C610" s="519"/>
      <c r="D610" s="519"/>
      <c r="E610" s="519"/>
      <c r="F610" s="518"/>
      <c r="G610" s="516"/>
      <c r="H610" s="517"/>
      <c r="I610" s="516"/>
      <c r="J610" s="516"/>
      <c r="K610" s="515"/>
      <c r="L610" s="515"/>
      <c r="M610" s="514"/>
    </row>
    <row r="611" spans="1:13">
      <c r="A611" s="516"/>
      <c r="B611" s="517"/>
      <c r="C611" s="519"/>
      <c r="D611" s="519"/>
      <c r="E611" s="519"/>
      <c r="F611" s="518"/>
      <c r="G611" s="516"/>
      <c r="H611" s="517"/>
      <c r="I611" s="516"/>
      <c r="J611" s="516"/>
      <c r="K611" s="515"/>
      <c r="L611" s="515"/>
      <c r="M611" s="514"/>
    </row>
    <row r="612" spans="1:13">
      <c r="A612" s="516"/>
      <c r="B612" s="517"/>
      <c r="C612" s="519"/>
      <c r="D612" s="519"/>
      <c r="E612" s="519"/>
      <c r="F612" s="518"/>
      <c r="G612" s="516"/>
      <c r="H612" s="517"/>
      <c r="I612" s="516"/>
      <c r="J612" s="516"/>
      <c r="K612" s="515"/>
      <c r="L612" s="515"/>
      <c r="M612" s="514"/>
    </row>
    <row r="613" spans="1:13">
      <c r="A613" s="516"/>
      <c r="B613" s="517"/>
      <c r="C613" s="519"/>
      <c r="D613" s="519"/>
      <c r="E613" s="519"/>
      <c r="F613" s="518"/>
      <c r="G613" s="516"/>
      <c r="H613" s="517"/>
      <c r="I613" s="516"/>
      <c r="J613" s="516"/>
      <c r="K613" s="515"/>
      <c r="L613" s="515"/>
      <c r="M613" s="514"/>
    </row>
    <row r="614" spans="1:13">
      <c r="A614" s="516"/>
      <c r="B614" s="517"/>
      <c r="C614" s="519"/>
      <c r="D614" s="519"/>
      <c r="E614" s="519"/>
      <c r="F614" s="518"/>
      <c r="G614" s="516"/>
      <c r="H614" s="517"/>
      <c r="I614" s="516"/>
      <c r="J614" s="516"/>
      <c r="K614" s="515"/>
      <c r="L614" s="515"/>
      <c r="M614" s="514"/>
    </row>
    <row r="615" spans="1:13">
      <c r="A615" s="516"/>
      <c r="B615" s="517"/>
      <c r="C615" s="519"/>
      <c r="D615" s="519"/>
      <c r="E615" s="519"/>
      <c r="F615" s="518"/>
      <c r="G615" s="516"/>
      <c r="H615" s="517"/>
      <c r="I615" s="516"/>
      <c r="J615" s="516"/>
      <c r="K615" s="515"/>
      <c r="L615" s="515"/>
      <c r="M615" s="514"/>
    </row>
    <row r="616" spans="1:13">
      <c r="A616" s="516"/>
      <c r="B616" s="517"/>
      <c r="C616" s="519"/>
      <c r="D616" s="519"/>
      <c r="E616" s="519"/>
      <c r="F616" s="518"/>
      <c r="G616" s="516"/>
      <c r="H616" s="517"/>
      <c r="I616" s="516"/>
      <c r="J616" s="516"/>
      <c r="K616" s="515"/>
      <c r="L616" s="515"/>
      <c r="M616" s="514"/>
    </row>
    <row r="617" spans="1:13">
      <c r="A617" s="516"/>
      <c r="B617" s="517"/>
      <c r="C617" s="519"/>
      <c r="D617" s="519"/>
      <c r="E617" s="519"/>
      <c r="F617" s="518"/>
      <c r="G617" s="516"/>
      <c r="H617" s="517"/>
      <c r="I617" s="516"/>
      <c r="J617" s="516"/>
      <c r="K617" s="515"/>
      <c r="L617" s="515"/>
      <c r="M617" s="514"/>
    </row>
    <row r="618" spans="1:13">
      <c r="A618" s="516"/>
      <c r="B618" s="517"/>
      <c r="C618" s="519"/>
      <c r="D618" s="519"/>
      <c r="E618" s="519"/>
      <c r="F618" s="518"/>
      <c r="G618" s="516"/>
      <c r="H618" s="517"/>
      <c r="I618" s="516"/>
      <c r="J618" s="516"/>
      <c r="K618" s="515"/>
      <c r="L618" s="515"/>
      <c r="M618" s="514"/>
    </row>
    <row r="619" spans="1:13">
      <c r="A619" s="516"/>
      <c r="B619" s="517"/>
      <c r="C619" s="519"/>
      <c r="D619" s="519"/>
      <c r="E619" s="519"/>
      <c r="F619" s="518"/>
      <c r="G619" s="516"/>
      <c r="H619" s="517"/>
      <c r="I619" s="516"/>
      <c r="J619" s="516"/>
      <c r="K619" s="515"/>
      <c r="L619" s="515"/>
      <c r="M619" s="514"/>
    </row>
    <row r="620" spans="1:13">
      <c r="A620" s="516"/>
      <c r="B620" s="517"/>
      <c r="C620" s="519"/>
      <c r="D620" s="519"/>
      <c r="E620" s="519"/>
      <c r="F620" s="518"/>
      <c r="G620" s="516"/>
      <c r="H620" s="517"/>
      <c r="I620" s="516"/>
      <c r="J620" s="516"/>
      <c r="K620" s="515"/>
      <c r="L620" s="515"/>
      <c r="M620" s="514"/>
    </row>
    <row r="621" spans="1:13">
      <c r="A621" s="516"/>
      <c r="B621" s="517"/>
      <c r="C621" s="519"/>
      <c r="D621" s="519"/>
      <c r="E621" s="519"/>
      <c r="F621" s="518"/>
      <c r="G621" s="516"/>
      <c r="H621" s="517"/>
      <c r="I621" s="516"/>
      <c r="J621" s="516"/>
      <c r="K621" s="515"/>
      <c r="L621" s="515"/>
      <c r="M621" s="514"/>
    </row>
    <row r="622" spans="1:13">
      <c r="A622" s="516"/>
      <c r="B622" s="517"/>
      <c r="C622" s="519"/>
      <c r="D622" s="519"/>
      <c r="E622" s="519"/>
      <c r="F622" s="518"/>
      <c r="G622" s="516"/>
      <c r="H622" s="517"/>
      <c r="I622" s="516"/>
      <c r="J622" s="516"/>
      <c r="K622" s="515"/>
      <c r="L622" s="515"/>
      <c r="M622" s="514"/>
    </row>
    <row r="623" spans="1:13">
      <c r="A623" s="516"/>
      <c r="B623" s="517"/>
      <c r="C623" s="519"/>
      <c r="D623" s="519"/>
      <c r="E623" s="519"/>
      <c r="F623" s="518"/>
      <c r="G623" s="516"/>
      <c r="H623" s="517"/>
      <c r="I623" s="516"/>
      <c r="J623" s="516"/>
      <c r="K623" s="515"/>
      <c r="L623" s="515"/>
      <c r="M623" s="514"/>
    </row>
    <row r="624" spans="1:13">
      <c r="A624" s="516"/>
      <c r="B624" s="517"/>
      <c r="C624" s="519"/>
      <c r="D624" s="519"/>
      <c r="E624" s="519"/>
      <c r="F624" s="518"/>
      <c r="G624" s="516"/>
      <c r="H624" s="517"/>
      <c r="I624" s="516"/>
      <c r="J624" s="516"/>
      <c r="K624" s="515"/>
      <c r="L624" s="515"/>
      <c r="M624" s="514"/>
    </row>
    <row r="625" spans="1:13">
      <c r="A625" s="516"/>
      <c r="B625" s="517"/>
      <c r="C625" s="519"/>
      <c r="D625" s="519"/>
      <c r="E625" s="519"/>
      <c r="F625" s="518"/>
      <c r="G625" s="516"/>
      <c r="H625" s="517"/>
      <c r="I625" s="516"/>
      <c r="J625" s="516"/>
      <c r="K625" s="515"/>
      <c r="L625" s="515"/>
      <c r="M625" s="514"/>
    </row>
    <row r="626" spans="1:13">
      <c r="A626" s="516"/>
      <c r="B626" s="517"/>
      <c r="C626" s="519"/>
      <c r="D626" s="519"/>
      <c r="E626" s="519"/>
      <c r="F626" s="518"/>
      <c r="G626" s="516"/>
      <c r="H626" s="517"/>
      <c r="I626" s="516"/>
      <c r="J626" s="516"/>
      <c r="K626" s="515"/>
      <c r="L626" s="515"/>
      <c r="M626" s="514"/>
    </row>
    <row r="627" spans="1:13">
      <c r="A627" s="516"/>
      <c r="B627" s="517"/>
      <c r="C627" s="519"/>
      <c r="D627" s="519"/>
      <c r="E627" s="519"/>
      <c r="F627" s="518"/>
      <c r="G627" s="516"/>
      <c r="H627" s="517"/>
      <c r="I627" s="516"/>
      <c r="J627" s="516"/>
      <c r="K627" s="515"/>
      <c r="L627" s="515"/>
      <c r="M627" s="514"/>
    </row>
    <row r="628" spans="1:13">
      <c r="A628" s="516"/>
      <c r="B628" s="517"/>
      <c r="C628" s="519"/>
      <c r="D628" s="519"/>
      <c r="E628" s="519"/>
      <c r="F628" s="518"/>
      <c r="G628" s="516"/>
      <c r="H628" s="517"/>
      <c r="I628" s="516"/>
      <c r="J628" s="516"/>
      <c r="K628" s="515"/>
      <c r="L628" s="515"/>
      <c r="M628" s="514"/>
    </row>
    <row r="629" spans="1:13">
      <c r="A629" s="516"/>
      <c r="B629" s="517"/>
      <c r="C629" s="519"/>
      <c r="D629" s="519"/>
      <c r="E629" s="519"/>
      <c r="F629" s="518"/>
      <c r="G629" s="516"/>
      <c r="H629" s="517"/>
      <c r="I629" s="516"/>
      <c r="J629" s="516"/>
      <c r="K629" s="515"/>
      <c r="L629" s="515"/>
      <c r="M629" s="514"/>
    </row>
    <row r="630" spans="1:13">
      <c r="A630" s="516"/>
      <c r="B630" s="517"/>
      <c r="C630" s="519"/>
      <c r="D630" s="519"/>
      <c r="E630" s="519"/>
      <c r="F630" s="518"/>
      <c r="G630" s="516"/>
      <c r="H630" s="517"/>
      <c r="I630" s="516"/>
      <c r="J630" s="516"/>
      <c r="K630" s="515"/>
      <c r="L630" s="515"/>
      <c r="M630" s="514"/>
    </row>
    <row r="631" spans="1:13">
      <c r="A631" s="516"/>
      <c r="B631" s="517"/>
      <c r="C631" s="519"/>
      <c r="D631" s="519"/>
      <c r="E631" s="519"/>
      <c r="F631" s="518"/>
      <c r="G631" s="516"/>
      <c r="H631" s="517"/>
      <c r="I631" s="516"/>
      <c r="J631" s="516"/>
      <c r="K631" s="515"/>
      <c r="L631" s="515"/>
      <c r="M631" s="514"/>
    </row>
    <row r="632" spans="1:13">
      <c r="A632" s="516"/>
      <c r="B632" s="517"/>
      <c r="C632" s="519"/>
      <c r="D632" s="519"/>
      <c r="E632" s="519"/>
      <c r="F632" s="518"/>
      <c r="G632" s="516"/>
      <c r="H632" s="517"/>
      <c r="I632" s="516"/>
      <c r="J632" s="516"/>
      <c r="K632" s="515"/>
      <c r="L632" s="515"/>
      <c r="M632" s="514"/>
    </row>
    <row r="633" spans="1:13">
      <c r="A633" s="516"/>
      <c r="B633" s="517"/>
      <c r="C633" s="519"/>
      <c r="D633" s="519"/>
      <c r="E633" s="519"/>
      <c r="F633" s="518"/>
      <c r="G633" s="516"/>
      <c r="H633" s="517"/>
      <c r="I633" s="516"/>
      <c r="J633" s="516"/>
      <c r="K633" s="515"/>
      <c r="L633" s="515"/>
      <c r="M633" s="514"/>
    </row>
    <row r="634" spans="1:13">
      <c r="A634" s="516"/>
      <c r="B634" s="517"/>
      <c r="C634" s="519"/>
      <c r="D634" s="519"/>
      <c r="E634" s="519"/>
      <c r="F634" s="518"/>
      <c r="G634" s="516"/>
      <c r="H634" s="517"/>
      <c r="I634" s="516"/>
      <c r="J634" s="516"/>
      <c r="K634" s="515"/>
      <c r="L634" s="515"/>
      <c r="M634" s="514"/>
    </row>
    <row r="635" spans="1:13">
      <c r="A635" s="516"/>
      <c r="B635" s="517"/>
      <c r="C635" s="519"/>
      <c r="D635" s="519"/>
      <c r="E635" s="519"/>
      <c r="F635" s="518"/>
      <c r="G635" s="516"/>
      <c r="H635" s="517"/>
      <c r="I635" s="516"/>
      <c r="J635" s="516"/>
      <c r="K635" s="515"/>
      <c r="L635" s="515"/>
      <c r="M635" s="514"/>
    </row>
    <row r="636" spans="1:13">
      <c r="A636" s="516"/>
      <c r="B636" s="517"/>
      <c r="C636" s="519"/>
      <c r="D636" s="519"/>
      <c r="E636" s="519"/>
      <c r="F636" s="518"/>
      <c r="G636" s="516"/>
      <c r="H636" s="517"/>
      <c r="I636" s="516"/>
      <c r="J636" s="516"/>
      <c r="K636" s="515"/>
      <c r="L636" s="515"/>
      <c r="M636" s="514"/>
    </row>
    <row r="637" spans="1:13">
      <c r="A637" s="516"/>
      <c r="B637" s="517"/>
      <c r="C637" s="519"/>
      <c r="D637" s="519"/>
      <c r="E637" s="519"/>
      <c r="F637" s="518"/>
      <c r="G637" s="516"/>
      <c r="H637" s="517"/>
      <c r="I637" s="516"/>
      <c r="J637" s="516"/>
      <c r="K637" s="515"/>
      <c r="L637" s="515"/>
      <c r="M637" s="514"/>
    </row>
    <row r="638" spans="1:13">
      <c r="A638" s="516"/>
      <c r="B638" s="517"/>
      <c r="C638" s="519"/>
      <c r="D638" s="519"/>
      <c r="E638" s="519"/>
      <c r="F638" s="518"/>
      <c r="G638" s="516"/>
      <c r="H638" s="517"/>
      <c r="I638" s="516"/>
      <c r="J638" s="516"/>
      <c r="K638" s="515"/>
      <c r="L638" s="515"/>
      <c r="M638" s="514"/>
    </row>
    <row r="639" spans="1:13">
      <c r="A639" s="516"/>
      <c r="B639" s="517"/>
      <c r="C639" s="519"/>
      <c r="D639" s="519"/>
      <c r="E639" s="519"/>
      <c r="F639" s="518"/>
      <c r="G639" s="516"/>
      <c r="H639" s="517"/>
      <c r="I639" s="516"/>
      <c r="J639" s="516"/>
      <c r="K639" s="515"/>
      <c r="L639" s="515"/>
      <c r="M639" s="514"/>
    </row>
    <row r="640" spans="1:13">
      <c r="A640" s="516"/>
      <c r="B640" s="517"/>
      <c r="C640" s="519"/>
      <c r="D640" s="519"/>
      <c r="E640" s="519"/>
      <c r="F640" s="518"/>
      <c r="G640" s="516"/>
      <c r="H640" s="517"/>
      <c r="I640" s="516"/>
      <c r="J640" s="516"/>
      <c r="K640" s="515"/>
      <c r="L640" s="515"/>
      <c r="M640" s="514"/>
    </row>
    <row r="641" spans="1:13">
      <c r="A641" s="516"/>
      <c r="B641" s="517"/>
      <c r="C641" s="519"/>
      <c r="D641" s="519"/>
      <c r="E641" s="519"/>
      <c r="F641" s="518"/>
      <c r="G641" s="516"/>
      <c r="H641" s="517"/>
      <c r="I641" s="516"/>
      <c r="J641" s="516"/>
      <c r="K641" s="515"/>
      <c r="L641" s="515"/>
      <c r="M641" s="514"/>
    </row>
    <row r="642" spans="1:13">
      <c r="A642" s="516"/>
      <c r="B642" s="517"/>
      <c r="C642" s="519"/>
      <c r="D642" s="519"/>
      <c r="E642" s="519"/>
      <c r="F642" s="518"/>
      <c r="G642" s="516"/>
      <c r="H642" s="517"/>
      <c r="I642" s="516"/>
      <c r="J642" s="516"/>
      <c r="K642" s="515"/>
      <c r="L642" s="515"/>
      <c r="M642" s="514"/>
    </row>
    <row r="643" spans="1:13">
      <c r="A643" s="516"/>
      <c r="B643" s="517"/>
      <c r="C643" s="519"/>
      <c r="D643" s="519"/>
      <c r="E643" s="519"/>
      <c r="F643" s="518"/>
      <c r="G643" s="516"/>
      <c r="H643" s="517"/>
      <c r="I643" s="516"/>
      <c r="J643" s="516"/>
      <c r="K643" s="515"/>
      <c r="L643" s="515"/>
      <c r="M643" s="514"/>
    </row>
    <row r="644" spans="1:13">
      <c r="A644" s="516"/>
      <c r="B644" s="517"/>
      <c r="C644" s="519"/>
      <c r="D644" s="519"/>
      <c r="E644" s="519"/>
      <c r="F644" s="518"/>
      <c r="G644" s="516"/>
      <c r="H644" s="517"/>
      <c r="I644" s="516"/>
      <c r="J644" s="516"/>
      <c r="K644" s="515"/>
      <c r="L644" s="515"/>
      <c r="M644" s="514"/>
    </row>
    <row r="645" spans="1:13">
      <c r="A645" s="516"/>
      <c r="B645" s="517"/>
      <c r="C645" s="519"/>
      <c r="D645" s="519"/>
      <c r="E645" s="519"/>
      <c r="F645" s="518"/>
      <c r="G645" s="516"/>
      <c r="H645" s="517"/>
      <c r="I645" s="516"/>
      <c r="J645" s="516"/>
      <c r="K645" s="515"/>
      <c r="L645" s="515"/>
      <c r="M645" s="514"/>
    </row>
    <row r="646" spans="1:13">
      <c r="A646" s="516"/>
      <c r="B646" s="517"/>
      <c r="C646" s="519"/>
      <c r="D646" s="519"/>
      <c r="E646" s="519"/>
      <c r="F646" s="518"/>
      <c r="G646" s="516"/>
      <c r="H646" s="517"/>
      <c r="I646" s="516"/>
      <c r="J646" s="516"/>
      <c r="K646" s="515"/>
      <c r="L646" s="515"/>
      <c r="M646" s="514"/>
    </row>
    <row r="647" spans="1:13">
      <c r="A647" s="516"/>
      <c r="B647" s="517"/>
      <c r="C647" s="519"/>
      <c r="D647" s="519"/>
      <c r="E647" s="519"/>
      <c r="F647" s="518"/>
      <c r="G647" s="516"/>
      <c r="H647" s="517"/>
      <c r="I647" s="516"/>
      <c r="J647" s="516"/>
      <c r="K647" s="515"/>
      <c r="L647" s="515"/>
      <c r="M647" s="514"/>
    </row>
    <row r="648" spans="1:13">
      <c r="A648" s="516"/>
      <c r="B648" s="517"/>
      <c r="C648" s="519"/>
      <c r="D648" s="519"/>
      <c r="E648" s="519"/>
      <c r="F648" s="518"/>
      <c r="G648" s="516"/>
      <c r="H648" s="517"/>
      <c r="I648" s="516"/>
      <c r="J648" s="516"/>
      <c r="K648" s="515"/>
      <c r="L648" s="515"/>
      <c r="M648" s="514"/>
    </row>
    <row r="649" spans="1:13">
      <c r="A649" s="516"/>
      <c r="B649" s="517"/>
      <c r="C649" s="519"/>
      <c r="D649" s="519"/>
      <c r="E649" s="519"/>
      <c r="F649" s="518"/>
      <c r="G649" s="516"/>
      <c r="H649" s="517"/>
      <c r="I649" s="516"/>
      <c r="J649" s="516"/>
      <c r="K649" s="515"/>
      <c r="L649" s="515"/>
      <c r="M649" s="514"/>
    </row>
    <row r="650" spans="1:13">
      <c r="A650" s="516"/>
      <c r="B650" s="517"/>
      <c r="C650" s="519"/>
      <c r="D650" s="519"/>
      <c r="E650" s="519"/>
      <c r="F650" s="518"/>
      <c r="G650" s="516"/>
      <c r="H650" s="517"/>
      <c r="I650" s="516"/>
      <c r="J650" s="516"/>
      <c r="K650" s="515"/>
      <c r="L650" s="515"/>
      <c r="M650" s="514"/>
    </row>
    <row r="651" spans="1:13">
      <c r="A651" s="516"/>
      <c r="B651" s="517"/>
      <c r="C651" s="519"/>
      <c r="D651" s="519"/>
      <c r="E651" s="519"/>
      <c r="F651" s="518"/>
      <c r="G651" s="516"/>
      <c r="H651" s="517"/>
      <c r="I651" s="516"/>
      <c r="J651" s="516"/>
      <c r="K651" s="515"/>
      <c r="L651" s="515"/>
      <c r="M651" s="514"/>
    </row>
    <row r="652" spans="1:13">
      <c r="A652" s="516"/>
      <c r="B652" s="517"/>
      <c r="C652" s="519"/>
      <c r="D652" s="519"/>
      <c r="E652" s="519"/>
      <c r="F652" s="518"/>
      <c r="G652" s="516"/>
      <c r="H652" s="517"/>
      <c r="I652" s="516"/>
      <c r="J652" s="516"/>
      <c r="K652" s="515"/>
      <c r="L652" s="515"/>
      <c r="M652" s="514"/>
    </row>
    <row r="653" spans="1:13">
      <c r="A653" s="516"/>
      <c r="B653" s="517"/>
      <c r="C653" s="519"/>
      <c r="D653" s="519"/>
      <c r="E653" s="519"/>
      <c r="F653" s="518"/>
      <c r="G653" s="516"/>
      <c r="H653" s="517"/>
      <c r="I653" s="516"/>
      <c r="J653" s="516"/>
      <c r="K653" s="515"/>
      <c r="L653" s="515"/>
      <c r="M653" s="514"/>
    </row>
    <row r="654" spans="1:13">
      <c r="A654" s="516"/>
      <c r="B654" s="517"/>
      <c r="C654" s="519"/>
      <c r="D654" s="519"/>
      <c r="E654" s="519"/>
      <c r="F654" s="518"/>
      <c r="G654" s="516"/>
      <c r="H654" s="517"/>
      <c r="I654" s="516"/>
      <c r="J654" s="516"/>
      <c r="K654" s="515"/>
      <c r="L654" s="515"/>
      <c r="M654" s="514"/>
    </row>
    <row r="655" spans="1:13">
      <c r="A655" s="516"/>
      <c r="B655" s="517"/>
      <c r="C655" s="519"/>
      <c r="D655" s="519"/>
      <c r="E655" s="519"/>
      <c r="F655" s="518"/>
      <c r="G655" s="516"/>
      <c r="H655" s="517"/>
      <c r="I655" s="516"/>
      <c r="J655" s="516"/>
      <c r="K655" s="515"/>
      <c r="L655" s="515"/>
      <c r="M655" s="514"/>
    </row>
    <row r="656" spans="1:13">
      <c r="A656" s="516"/>
      <c r="B656" s="517"/>
      <c r="C656" s="519"/>
      <c r="D656" s="519"/>
      <c r="E656" s="519"/>
      <c r="F656" s="518"/>
      <c r="G656" s="516"/>
      <c r="H656" s="517"/>
      <c r="I656" s="516"/>
      <c r="J656" s="516"/>
      <c r="K656" s="515"/>
      <c r="L656" s="515"/>
      <c r="M656" s="514"/>
    </row>
    <row r="657" spans="1:13">
      <c r="A657" s="516"/>
      <c r="B657" s="517"/>
      <c r="C657" s="519"/>
      <c r="D657" s="519"/>
      <c r="E657" s="519"/>
      <c r="F657" s="518"/>
      <c r="G657" s="516"/>
      <c r="H657" s="517"/>
      <c r="I657" s="516"/>
      <c r="J657" s="516"/>
      <c r="K657" s="515"/>
      <c r="L657" s="515"/>
      <c r="M657" s="514"/>
    </row>
    <row r="658" spans="1:13">
      <c r="A658" s="516"/>
      <c r="B658" s="517"/>
      <c r="C658" s="519"/>
      <c r="D658" s="519"/>
      <c r="E658" s="519"/>
      <c r="F658" s="518"/>
      <c r="G658" s="516"/>
      <c r="H658" s="517"/>
      <c r="I658" s="516"/>
      <c r="J658" s="516"/>
      <c r="K658" s="515"/>
      <c r="L658" s="515"/>
      <c r="M658" s="514"/>
    </row>
    <row r="659" spans="1:13">
      <c r="A659" s="516"/>
      <c r="B659" s="517"/>
      <c r="C659" s="519"/>
      <c r="D659" s="519"/>
      <c r="E659" s="519"/>
      <c r="F659" s="518"/>
      <c r="G659" s="516"/>
      <c r="H659" s="517"/>
      <c r="I659" s="516"/>
      <c r="J659" s="516"/>
      <c r="K659" s="515"/>
      <c r="L659" s="515"/>
      <c r="M659" s="514"/>
    </row>
    <row r="660" spans="1:13">
      <c r="A660" s="516"/>
      <c r="B660" s="517"/>
      <c r="C660" s="519"/>
      <c r="D660" s="519"/>
      <c r="E660" s="519"/>
      <c r="F660" s="518"/>
      <c r="G660" s="516"/>
      <c r="H660" s="517"/>
      <c r="I660" s="516"/>
      <c r="J660" s="516"/>
      <c r="K660" s="515"/>
      <c r="L660" s="515"/>
      <c r="M660" s="514"/>
    </row>
    <row r="661" spans="1:13">
      <c r="A661" s="516"/>
      <c r="B661" s="517"/>
      <c r="C661" s="519"/>
      <c r="D661" s="519"/>
      <c r="E661" s="519"/>
      <c r="F661" s="518"/>
      <c r="G661" s="516"/>
      <c r="H661" s="517"/>
      <c r="I661" s="516"/>
      <c r="J661" s="516"/>
      <c r="K661" s="515"/>
      <c r="L661" s="515"/>
      <c r="M661" s="514"/>
    </row>
    <row r="662" spans="1:13">
      <c r="A662" s="516"/>
      <c r="B662" s="517"/>
      <c r="C662" s="519"/>
      <c r="D662" s="519"/>
      <c r="E662" s="519"/>
      <c r="F662" s="518"/>
      <c r="G662" s="516"/>
      <c r="H662" s="517"/>
      <c r="I662" s="516"/>
      <c r="J662" s="516"/>
      <c r="K662" s="515"/>
      <c r="L662" s="515"/>
      <c r="M662" s="514"/>
    </row>
    <row r="663" spans="1:13">
      <c r="A663" s="516"/>
      <c r="B663" s="517"/>
      <c r="C663" s="519"/>
      <c r="D663" s="519"/>
      <c r="E663" s="519"/>
      <c r="F663" s="518"/>
      <c r="G663" s="516"/>
      <c r="H663" s="517"/>
      <c r="I663" s="516"/>
      <c r="J663" s="516"/>
      <c r="K663" s="515"/>
      <c r="L663" s="515"/>
      <c r="M663" s="514"/>
    </row>
    <row r="664" spans="1:13">
      <c r="A664" s="516"/>
      <c r="B664" s="517"/>
      <c r="C664" s="519"/>
      <c r="D664" s="519"/>
      <c r="E664" s="519"/>
      <c r="F664" s="518"/>
      <c r="G664" s="516"/>
      <c r="H664" s="517"/>
      <c r="I664" s="516"/>
      <c r="J664" s="516"/>
      <c r="K664" s="515"/>
      <c r="L664" s="515"/>
      <c r="M664" s="514"/>
    </row>
    <row r="665" spans="1:13">
      <c r="A665" s="516"/>
      <c r="B665" s="517"/>
      <c r="C665" s="519"/>
      <c r="D665" s="519"/>
      <c r="E665" s="519"/>
      <c r="F665" s="518"/>
      <c r="G665" s="516"/>
      <c r="H665" s="517"/>
      <c r="I665" s="516"/>
      <c r="J665" s="516"/>
      <c r="K665" s="515"/>
      <c r="L665" s="515"/>
      <c r="M665" s="514"/>
    </row>
    <row r="666" spans="1:13">
      <c r="A666" s="516"/>
      <c r="B666" s="517"/>
      <c r="C666" s="519"/>
      <c r="D666" s="519"/>
      <c r="E666" s="519"/>
      <c r="F666" s="518"/>
      <c r="G666" s="516"/>
      <c r="H666" s="517"/>
      <c r="I666" s="516"/>
      <c r="J666" s="516"/>
      <c r="K666" s="515"/>
      <c r="L666" s="515"/>
      <c r="M666" s="514"/>
    </row>
    <row r="667" spans="1:13">
      <c r="A667" s="516"/>
      <c r="B667" s="517"/>
      <c r="C667" s="519"/>
      <c r="D667" s="519"/>
      <c r="E667" s="519"/>
      <c r="F667" s="518"/>
      <c r="G667" s="516"/>
      <c r="H667" s="517"/>
      <c r="I667" s="516"/>
      <c r="J667" s="516"/>
      <c r="K667" s="515"/>
      <c r="L667" s="515"/>
      <c r="M667" s="514"/>
    </row>
    <row r="668" spans="1:13">
      <c r="A668" s="516"/>
      <c r="B668" s="517"/>
      <c r="C668" s="519"/>
      <c r="D668" s="519"/>
      <c r="E668" s="519"/>
      <c r="F668" s="518"/>
      <c r="G668" s="516"/>
      <c r="H668" s="517"/>
      <c r="I668" s="516"/>
      <c r="J668" s="516"/>
      <c r="K668" s="515"/>
      <c r="L668" s="515"/>
      <c r="M668" s="514"/>
    </row>
    <row r="669" spans="1:13">
      <c r="A669" s="516"/>
      <c r="B669" s="517"/>
      <c r="C669" s="519"/>
      <c r="D669" s="519"/>
      <c r="E669" s="519"/>
      <c r="F669" s="518"/>
      <c r="G669" s="516"/>
      <c r="H669" s="517"/>
      <c r="I669" s="516"/>
      <c r="J669" s="516"/>
      <c r="K669" s="515"/>
      <c r="L669" s="515"/>
      <c r="M669" s="514"/>
    </row>
    <row r="670" spans="1:13">
      <c r="A670" s="516"/>
      <c r="B670" s="517"/>
      <c r="C670" s="519"/>
      <c r="D670" s="519"/>
      <c r="E670" s="519"/>
      <c r="F670" s="518"/>
      <c r="G670" s="516"/>
      <c r="H670" s="517"/>
      <c r="I670" s="516"/>
      <c r="J670" s="516"/>
      <c r="K670" s="515"/>
      <c r="L670" s="515"/>
      <c r="M670" s="514"/>
    </row>
    <row r="671" spans="1:13">
      <c r="A671" s="516"/>
      <c r="B671" s="517"/>
      <c r="C671" s="519"/>
      <c r="D671" s="519"/>
      <c r="E671" s="519"/>
      <c r="F671" s="518"/>
      <c r="G671" s="516"/>
      <c r="H671" s="517"/>
      <c r="I671" s="516"/>
      <c r="J671" s="516"/>
      <c r="K671" s="515"/>
      <c r="L671" s="515"/>
      <c r="M671" s="514"/>
    </row>
    <row r="672" spans="1:13">
      <c r="A672" s="516"/>
      <c r="B672" s="517"/>
      <c r="C672" s="519"/>
      <c r="D672" s="519"/>
      <c r="E672" s="519"/>
      <c r="F672" s="518"/>
      <c r="G672" s="516"/>
      <c r="H672" s="517"/>
      <c r="I672" s="516"/>
      <c r="J672" s="516"/>
      <c r="K672" s="515"/>
      <c r="L672" s="515"/>
      <c r="M672" s="514"/>
    </row>
    <row r="673" spans="1:13">
      <c r="A673" s="516"/>
      <c r="B673" s="517"/>
      <c r="C673" s="519"/>
      <c r="D673" s="519"/>
      <c r="E673" s="519"/>
      <c r="F673" s="518"/>
      <c r="G673" s="516"/>
      <c r="H673" s="517"/>
      <c r="I673" s="516"/>
      <c r="J673" s="516"/>
      <c r="K673" s="515"/>
      <c r="L673" s="515"/>
      <c r="M673" s="514"/>
    </row>
    <row r="674" spans="1:13">
      <c r="A674" s="516"/>
      <c r="B674" s="517"/>
      <c r="C674" s="519"/>
      <c r="D674" s="519"/>
      <c r="E674" s="519"/>
      <c r="F674" s="518"/>
      <c r="G674" s="516"/>
      <c r="H674" s="517"/>
      <c r="I674" s="516"/>
      <c r="J674" s="516"/>
      <c r="K674" s="515"/>
      <c r="L674" s="515"/>
      <c r="M674" s="514"/>
    </row>
    <row r="675" spans="1:13">
      <c r="A675" s="516"/>
      <c r="B675" s="517"/>
      <c r="C675" s="519"/>
      <c r="D675" s="519"/>
      <c r="E675" s="519"/>
      <c r="F675" s="518"/>
      <c r="G675" s="516"/>
      <c r="H675" s="517"/>
      <c r="I675" s="516"/>
      <c r="J675" s="516"/>
      <c r="K675" s="515"/>
      <c r="L675" s="515"/>
      <c r="M675" s="514"/>
    </row>
    <row r="676" spans="1:13">
      <c r="A676" s="516"/>
      <c r="B676" s="517"/>
      <c r="C676" s="519"/>
      <c r="D676" s="519"/>
      <c r="E676" s="519"/>
      <c r="F676" s="518"/>
      <c r="G676" s="516"/>
      <c r="H676" s="517"/>
      <c r="I676" s="516"/>
      <c r="J676" s="516"/>
      <c r="K676" s="515"/>
      <c r="L676" s="515"/>
      <c r="M676" s="514"/>
    </row>
    <row r="677" spans="1:13">
      <c r="A677" s="516"/>
      <c r="B677" s="517"/>
      <c r="C677" s="519"/>
      <c r="D677" s="519"/>
      <c r="E677" s="519"/>
      <c r="F677" s="518"/>
      <c r="G677" s="516"/>
      <c r="H677" s="517"/>
      <c r="I677" s="516"/>
      <c r="J677" s="516"/>
      <c r="K677" s="515"/>
      <c r="L677" s="515"/>
      <c r="M677" s="514"/>
    </row>
    <row r="678" spans="1:13">
      <c r="A678" s="516"/>
      <c r="B678" s="517"/>
      <c r="C678" s="519"/>
      <c r="D678" s="519"/>
      <c r="E678" s="519"/>
      <c r="F678" s="518"/>
      <c r="G678" s="516"/>
      <c r="H678" s="517"/>
      <c r="I678" s="516"/>
      <c r="J678" s="516"/>
      <c r="K678" s="515"/>
      <c r="L678" s="515"/>
      <c r="M678" s="514"/>
    </row>
    <row r="679" spans="1:13">
      <c r="A679" s="516"/>
      <c r="B679" s="517"/>
      <c r="C679" s="519"/>
      <c r="D679" s="519"/>
      <c r="E679" s="519"/>
      <c r="F679" s="518"/>
      <c r="G679" s="516"/>
      <c r="H679" s="517"/>
      <c r="I679" s="516"/>
      <c r="J679" s="516"/>
      <c r="K679" s="515"/>
      <c r="L679" s="515"/>
      <c r="M679" s="514"/>
    </row>
    <row r="680" spans="1:13">
      <c r="A680" s="516"/>
      <c r="B680" s="517"/>
      <c r="C680" s="519"/>
      <c r="D680" s="519"/>
      <c r="E680" s="519"/>
      <c r="F680" s="518"/>
      <c r="G680" s="516"/>
      <c r="H680" s="517"/>
      <c r="I680" s="516"/>
      <c r="J680" s="516"/>
      <c r="K680" s="515"/>
      <c r="L680" s="515"/>
      <c r="M680" s="514"/>
    </row>
    <row r="681" spans="1:13">
      <c r="A681" s="516"/>
      <c r="B681" s="517"/>
      <c r="C681" s="519"/>
      <c r="D681" s="519"/>
      <c r="E681" s="519"/>
      <c r="F681" s="518"/>
      <c r="G681" s="516"/>
      <c r="H681" s="517"/>
      <c r="I681" s="516"/>
      <c r="J681" s="516"/>
      <c r="K681" s="515"/>
      <c r="L681" s="515"/>
      <c r="M681" s="514"/>
    </row>
    <row r="682" spans="1:13">
      <c r="A682" s="516"/>
      <c r="B682" s="517"/>
      <c r="C682" s="519"/>
      <c r="D682" s="519"/>
      <c r="E682" s="519"/>
      <c r="F682" s="518"/>
      <c r="G682" s="516"/>
      <c r="H682" s="517"/>
      <c r="I682" s="516"/>
      <c r="J682" s="516"/>
      <c r="K682" s="515"/>
      <c r="L682" s="515"/>
      <c r="M682" s="514"/>
    </row>
    <row r="683" spans="1:13">
      <c r="A683" s="516"/>
      <c r="B683" s="517"/>
      <c r="C683" s="519"/>
      <c r="D683" s="519"/>
      <c r="E683" s="519"/>
      <c r="F683" s="518"/>
      <c r="G683" s="516"/>
      <c r="H683" s="517"/>
      <c r="I683" s="516"/>
      <c r="J683" s="516"/>
      <c r="K683" s="515"/>
      <c r="L683" s="515"/>
      <c r="M683" s="514"/>
    </row>
    <row r="684" spans="1:13">
      <c r="A684" s="516"/>
      <c r="B684" s="517"/>
      <c r="C684" s="519"/>
      <c r="D684" s="519"/>
      <c r="E684" s="519"/>
      <c r="F684" s="518"/>
      <c r="G684" s="516"/>
      <c r="H684" s="517"/>
      <c r="I684" s="516"/>
      <c r="J684" s="516"/>
      <c r="K684" s="515"/>
      <c r="L684" s="515"/>
      <c r="M684" s="514"/>
    </row>
    <row r="685" spans="1:13">
      <c r="A685" s="516"/>
      <c r="B685" s="517"/>
      <c r="C685" s="519"/>
      <c r="D685" s="519"/>
      <c r="E685" s="519"/>
      <c r="F685" s="518"/>
      <c r="G685" s="516"/>
      <c r="H685" s="517"/>
      <c r="I685" s="516"/>
      <c r="J685" s="516"/>
      <c r="K685" s="515"/>
      <c r="L685" s="515"/>
      <c r="M685" s="514"/>
    </row>
    <row r="686" spans="1:13">
      <c r="A686" s="516"/>
      <c r="B686" s="517"/>
      <c r="C686" s="519"/>
      <c r="D686" s="519"/>
      <c r="E686" s="519"/>
      <c r="F686" s="518"/>
      <c r="G686" s="516"/>
      <c r="H686" s="517"/>
      <c r="I686" s="516"/>
      <c r="J686" s="516"/>
      <c r="K686" s="515"/>
      <c r="L686" s="515"/>
      <c r="M686" s="514"/>
    </row>
    <row r="687" spans="1:13">
      <c r="A687" s="516"/>
      <c r="B687" s="517"/>
      <c r="C687" s="519"/>
      <c r="D687" s="519"/>
      <c r="E687" s="519"/>
      <c r="F687" s="518"/>
      <c r="G687" s="516"/>
      <c r="H687" s="517"/>
      <c r="I687" s="516"/>
      <c r="J687" s="516"/>
      <c r="K687" s="515"/>
      <c r="L687" s="515"/>
      <c r="M687" s="514"/>
    </row>
    <row r="688" spans="1:13">
      <c r="A688" s="516"/>
      <c r="B688" s="517"/>
      <c r="C688" s="519"/>
      <c r="D688" s="519"/>
      <c r="E688" s="519"/>
      <c r="F688" s="518"/>
      <c r="G688" s="516"/>
      <c r="H688" s="517"/>
      <c r="I688" s="516"/>
      <c r="J688" s="516"/>
      <c r="K688" s="515"/>
      <c r="L688" s="515"/>
      <c r="M688" s="514"/>
    </row>
    <row r="689" spans="1:13">
      <c r="A689" s="516"/>
      <c r="B689" s="517"/>
      <c r="C689" s="519"/>
      <c r="D689" s="519"/>
      <c r="E689" s="519"/>
      <c r="F689" s="518"/>
      <c r="G689" s="516"/>
      <c r="H689" s="517"/>
      <c r="I689" s="516"/>
      <c r="J689" s="516"/>
      <c r="K689" s="515"/>
      <c r="L689" s="515"/>
      <c r="M689" s="514"/>
    </row>
    <row r="690" spans="1:13">
      <c r="A690" s="516"/>
      <c r="B690" s="517"/>
      <c r="C690" s="519"/>
      <c r="D690" s="519"/>
      <c r="E690" s="519"/>
      <c r="F690" s="518"/>
      <c r="G690" s="516"/>
      <c r="H690" s="517"/>
      <c r="I690" s="516"/>
      <c r="J690" s="516"/>
      <c r="K690" s="515"/>
      <c r="L690" s="515"/>
      <c r="M690" s="514"/>
    </row>
    <row r="691" spans="1:13">
      <c r="A691" s="516"/>
      <c r="B691" s="517"/>
      <c r="C691" s="519"/>
      <c r="D691" s="519"/>
      <c r="E691" s="519"/>
      <c r="F691" s="518"/>
      <c r="G691" s="516"/>
      <c r="H691" s="517"/>
      <c r="I691" s="516"/>
      <c r="J691" s="516"/>
      <c r="K691" s="515"/>
      <c r="L691" s="515"/>
      <c r="M691" s="514"/>
    </row>
    <row r="692" spans="1:13">
      <c r="A692" s="516"/>
      <c r="B692" s="517"/>
      <c r="C692" s="519"/>
      <c r="D692" s="519"/>
      <c r="E692" s="519"/>
      <c r="F692" s="518"/>
      <c r="G692" s="516"/>
      <c r="H692" s="517"/>
      <c r="I692" s="516"/>
      <c r="J692" s="516"/>
      <c r="K692" s="515"/>
      <c r="L692" s="515"/>
      <c r="M692" s="514"/>
    </row>
    <row r="693" spans="1:13">
      <c r="A693" s="516"/>
      <c r="B693" s="517"/>
      <c r="C693" s="519"/>
      <c r="D693" s="519"/>
      <c r="E693" s="519"/>
      <c r="F693" s="518"/>
      <c r="G693" s="516"/>
      <c r="H693" s="517"/>
      <c r="I693" s="516"/>
      <c r="J693" s="516"/>
      <c r="K693" s="515"/>
      <c r="L693" s="515"/>
      <c r="M693" s="514"/>
    </row>
    <row r="694" spans="1:13">
      <c r="A694" s="516"/>
      <c r="B694" s="517"/>
      <c r="C694" s="519"/>
      <c r="D694" s="519"/>
      <c r="E694" s="519"/>
      <c r="F694" s="518"/>
      <c r="G694" s="516"/>
      <c r="H694" s="517"/>
      <c r="I694" s="516"/>
      <c r="J694" s="516"/>
      <c r="K694" s="515"/>
      <c r="L694" s="515"/>
      <c r="M694" s="514"/>
    </row>
    <row r="695" spans="1:13">
      <c r="A695" s="516"/>
      <c r="B695" s="517"/>
      <c r="C695" s="519"/>
      <c r="D695" s="519"/>
      <c r="E695" s="519"/>
      <c r="F695" s="518"/>
      <c r="G695" s="516"/>
      <c r="H695" s="517"/>
      <c r="I695" s="516"/>
      <c r="J695" s="516"/>
      <c r="K695" s="515"/>
      <c r="L695" s="515"/>
      <c r="M695" s="514"/>
    </row>
    <row r="696" spans="1:13">
      <c r="A696" s="516"/>
      <c r="B696" s="517"/>
      <c r="C696" s="519"/>
      <c r="D696" s="519"/>
      <c r="E696" s="519"/>
      <c r="F696" s="518"/>
      <c r="G696" s="516"/>
      <c r="H696" s="517"/>
      <c r="I696" s="516"/>
      <c r="J696" s="516"/>
      <c r="K696" s="515"/>
      <c r="L696" s="515"/>
      <c r="M696" s="514"/>
    </row>
    <row r="697" spans="1:13">
      <c r="A697" s="516"/>
      <c r="B697" s="517"/>
      <c r="C697" s="519"/>
      <c r="D697" s="519"/>
      <c r="E697" s="519"/>
      <c r="F697" s="518"/>
      <c r="G697" s="516"/>
      <c r="H697" s="517"/>
      <c r="I697" s="516"/>
      <c r="J697" s="516"/>
      <c r="K697" s="515"/>
      <c r="L697" s="515"/>
      <c r="M697" s="514"/>
    </row>
    <row r="698" spans="1:13">
      <c r="A698" s="516"/>
      <c r="B698" s="517"/>
      <c r="C698" s="519"/>
      <c r="D698" s="519"/>
      <c r="E698" s="519"/>
      <c r="F698" s="518"/>
      <c r="G698" s="516"/>
      <c r="H698" s="517"/>
      <c r="I698" s="516"/>
      <c r="J698" s="516"/>
      <c r="K698" s="515"/>
      <c r="L698" s="515"/>
      <c r="M698" s="514"/>
    </row>
    <row r="699" spans="1:13">
      <c r="A699" s="516"/>
      <c r="B699" s="517"/>
      <c r="C699" s="519"/>
      <c r="D699" s="519"/>
      <c r="E699" s="519"/>
      <c r="F699" s="518"/>
      <c r="G699" s="516"/>
      <c r="H699" s="517"/>
      <c r="I699" s="516"/>
      <c r="J699" s="516"/>
      <c r="K699" s="515"/>
      <c r="L699" s="515"/>
      <c r="M699" s="514"/>
    </row>
    <row r="700" spans="1:13">
      <c r="A700" s="516"/>
      <c r="B700" s="517"/>
      <c r="C700" s="519"/>
      <c r="D700" s="519"/>
      <c r="E700" s="519"/>
      <c r="F700" s="518"/>
      <c r="G700" s="516"/>
      <c r="H700" s="517"/>
      <c r="I700" s="516"/>
      <c r="J700" s="516"/>
      <c r="K700" s="515"/>
      <c r="L700" s="515"/>
      <c r="M700" s="514"/>
    </row>
    <row r="701" spans="1:13">
      <c r="A701" s="516"/>
      <c r="B701" s="517"/>
      <c r="C701" s="519"/>
      <c r="D701" s="519"/>
      <c r="E701" s="519"/>
      <c r="F701" s="518"/>
      <c r="G701" s="516"/>
      <c r="H701" s="517"/>
      <c r="I701" s="516"/>
      <c r="J701" s="516"/>
      <c r="K701" s="515"/>
      <c r="L701" s="515"/>
      <c r="M701" s="514"/>
    </row>
    <row r="702" spans="1:13">
      <c r="A702" s="516"/>
      <c r="B702" s="517"/>
      <c r="C702" s="519"/>
      <c r="D702" s="519"/>
      <c r="E702" s="519"/>
      <c r="F702" s="518"/>
      <c r="G702" s="516"/>
      <c r="H702" s="517"/>
      <c r="I702" s="516"/>
      <c r="J702" s="516"/>
      <c r="K702" s="515"/>
      <c r="L702" s="515"/>
      <c r="M702" s="514"/>
    </row>
    <row r="703" spans="1:13">
      <c r="A703" s="516"/>
      <c r="B703" s="517"/>
      <c r="C703" s="519"/>
      <c r="D703" s="519"/>
      <c r="E703" s="519"/>
      <c r="F703" s="518"/>
      <c r="G703" s="516"/>
      <c r="H703" s="517"/>
      <c r="I703" s="516"/>
      <c r="J703" s="516"/>
      <c r="K703" s="515"/>
      <c r="L703" s="515"/>
      <c r="M703" s="514"/>
    </row>
    <row r="704" spans="1:13">
      <c r="A704" s="516"/>
      <c r="B704" s="517"/>
      <c r="C704" s="519"/>
      <c r="D704" s="519"/>
      <c r="E704" s="519"/>
      <c r="F704" s="518"/>
      <c r="G704" s="516"/>
      <c r="H704" s="517"/>
      <c r="I704" s="516"/>
      <c r="J704" s="516"/>
      <c r="K704" s="515"/>
      <c r="L704" s="515"/>
      <c r="M704" s="514"/>
    </row>
    <row r="705" spans="1:13">
      <c r="A705" s="516"/>
      <c r="B705" s="517"/>
      <c r="C705" s="519"/>
      <c r="D705" s="519"/>
      <c r="E705" s="519"/>
      <c r="F705" s="518"/>
      <c r="G705" s="516"/>
      <c r="H705" s="517"/>
      <c r="I705" s="516"/>
      <c r="J705" s="516"/>
      <c r="K705" s="515"/>
      <c r="L705" s="515"/>
      <c r="M705" s="514"/>
    </row>
    <row r="706" spans="1:13">
      <c r="A706" s="516"/>
      <c r="B706" s="517"/>
      <c r="C706" s="519"/>
      <c r="D706" s="519"/>
      <c r="E706" s="519"/>
      <c r="F706" s="518"/>
      <c r="G706" s="516"/>
      <c r="H706" s="517"/>
      <c r="I706" s="516"/>
      <c r="J706" s="516"/>
      <c r="K706" s="515"/>
      <c r="L706" s="515"/>
      <c r="M706" s="514"/>
    </row>
    <row r="707" spans="1:13">
      <c r="A707" s="516"/>
      <c r="B707" s="517"/>
      <c r="C707" s="519"/>
      <c r="D707" s="519"/>
      <c r="E707" s="519"/>
      <c r="F707" s="518"/>
      <c r="G707" s="516"/>
      <c r="H707" s="517"/>
      <c r="I707" s="516"/>
      <c r="J707" s="516"/>
      <c r="K707" s="515"/>
      <c r="L707" s="515"/>
      <c r="M707" s="514"/>
    </row>
    <row r="708" spans="1:13">
      <c r="A708" s="516"/>
      <c r="B708" s="517"/>
      <c r="C708" s="519"/>
      <c r="D708" s="519"/>
      <c r="E708" s="519"/>
      <c r="F708" s="518"/>
      <c r="G708" s="516"/>
      <c r="H708" s="517"/>
      <c r="I708" s="516"/>
      <c r="J708" s="516"/>
      <c r="K708" s="515"/>
      <c r="L708" s="515"/>
      <c r="M708" s="514"/>
    </row>
    <row r="709" spans="1:13">
      <c r="A709" s="516"/>
      <c r="B709" s="517"/>
      <c r="C709" s="519"/>
      <c r="D709" s="519"/>
      <c r="E709" s="519"/>
      <c r="F709" s="518"/>
      <c r="G709" s="516"/>
      <c r="H709" s="517"/>
      <c r="I709" s="516"/>
      <c r="J709" s="516"/>
      <c r="K709" s="515"/>
      <c r="L709" s="515"/>
      <c r="M709" s="514"/>
    </row>
    <row r="710" spans="1:13">
      <c r="A710" s="516"/>
      <c r="B710" s="517"/>
      <c r="C710" s="519"/>
      <c r="D710" s="519"/>
      <c r="E710" s="519"/>
      <c r="F710" s="518"/>
      <c r="G710" s="516"/>
      <c r="H710" s="517"/>
      <c r="I710" s="516"/>
      <c r="J710" s="516"/>
      <c r="K710" s="515"/>
      <c r="L710" s="515"/>
      <c r="M710" s="514"/>
    </row>
    <row r="711" spans="1:13">
      <c r="A711" s="516"/>
      <c r="B711" s="517"/>
      <c r="C711" s="519"/>
      <c r="D711" s="519"/>
      <c r="E711" s="519"/>
      <c r="F711" s="518"/>
      <c r="G711" s="516"/>
      <c r="H711" s="517"/>
      <c r="I711" s="516"/>
      <c r="J711" s="516"/>
      <c r="K711" s="515"/>
      <c r="L711" s="515"/>
      <c r="M711" s="514"/>
    </row>
    <row r="712" spans="1:13">
      <c r="A712" s="516"/>
      <c r="B712" s="517"/>
      <c r="C712" s="519"/>
      <c r="D712" s="519"/>
      <c r="E712" s="519"/>
      <c r="F712" s="518"/>
      <c r="G712" s="516"/>
      <c r="H712" s="517"/>
      <c r="I712" s="516"/>
      <c r="J712" s="516"/>
      <c r="K712" s="515"/>
      <c r="L712" s="515"/>
      <c r="M712" s="514"/>
    </row>
    <row r="713" spans="1:13">
      <c r="A713" s="516"/>
      <c r="B713" s="517"/>
      <c r="C713" s="519"/>
      <c r="D713" s="519"/>
      <c r="E713" s="519"/>
      <c r="F713" s="518"/>
      <c r="G713" s="516"/>
      <c r="H713" s="517"/>
      <c r="I713" s="516"/>
      <c r="J713" s="516"/>
      <c r="K713" s="515"/>
      <c r="L713" s="515"/>
      <c r="M713" s="514"/>
    </row>
    <row r="714" spans="1:13">
      <c r="A714" s="516"/>
      <c r="B714" s="517"/>
      <c r="C714" s="519"/>
      <c r="D714" s="519"/>
      <c r="E714" s="519"/>
      <c r="F714" s="518"/>
      <c r="G714" s="516"/>
      <c r="H714" s="517"/>
      <c r="I714" s="516"/>
      <c r="J714" s="516"/>
      <c r="K714" s="515"/>
      <c r="L714" s="515"/>
      <c r="M714" s="514"/>
    </row>
    <row r="715" spans="1:13">
      <c r="A715" s="516"/>
      <c r="B715" s="517"/>
      <c r="C715" s="519"/>
      <c r="D715" s="519"/>
      <c r="E715" s="519"/>
      <c r="F715" s="518"/>
      <c r="G715" s="516"/>
      <c r="H715" s="517"/>
      <c r="I715" s="516"/>
      <c r="J715" s="516"/>
      <c r="K715" s="515"/>
      <c r="L715" s="515"/>
      <c r="M715" s="514"/>
    </row>
    <row r="716" spans="1:13">
      <c r="A716" s="516"/>
      <c r="B716" s="517"/>
      <c r="C716" s="519"/>
      <c r="D716" s="519"/>
      <c r="E716" s="519"/>
      <c r="F716" s="518"/>
      <c r="G716" s="516"/>
      <c r="H716" s="517"/>
      <c r="I716" s="516"/>
      <c r="J716" s="516"/>
      <c r="K716" s="515"/>
      <c r="L716" s="515"/>
      <c r="M716" s="514"/>
    </row>
    <row r="717" spans="1:13">
      <c r="A717" s="516"/>
      <c r="B717" s="517"/>
      <c r="C717" s="519"/>
      <c r="D717" s="519"/>
      <c r="E717" s="519"/>
      <c r="F717" s="518"/>
      <c r="G717" s="516"/>
      <c r="H717" s="517"/>
      <c r="I717" s="516"/>
      <c r="J717" s="516"/>
      <c r="K717" s="515"/>
      <c r="L717" s="515"/>
      <c r="M717" s="514"/>
    </row>
    <row r="718" spans="1:13">
      <c r="A718" s="516"/>
      <c r="B718" s="517"/>
      <c r="C718" s="519"/>
      <c r="D718" s="519"/>
      <c r="E718" s="519"/>
      <c r="F718" s="518"/>
      <c r="G718" s="516"/>
      <c r="H718" s="517"/>
      <c r="I718" s="516"/>
      <c r="J718" s="516"/>
      <c r="K718" s="515"/>
      <c r="L718" s="515"/>
      <c r="M718" s="514"/>
    </row>
    <row r="719" spans="1:13">
      <c r="A719" s="516"/>
      <c r="B719" s="517"/>
      <c r="C719" s="519"/>
      <c r="D719" s="519"/>
      <c r="E719" s="519"/>
      <c r="F719" s="518"/>
      <c r="G719" s="516"/>
      <c r="H719" s="517"/>
      <c r="I719" s="516"/>
      <c r="J719" s="516"/>
      <c r="K719" s="515"/>
      <c r="L719" s="515"/>
      <c r="M719" s="514"/>
    </row>
    <row r="720" spans="1:13">
      <c r="A720" s="516"/>
      <c r="B720" s="517"/>
      <c r="C720" s="519"/>
      <c r="D720" s="519"/>
      <c r="E720" s="519"/>
      <c r="F720" s="518"/>
      <c r="G720" s="516"/>
      <c r="H720" s="517"/>
      <c r="I720" s="516"/>
      <c r="J720" s="516"/>
      <c r="K720" s="515"/>
      <c r="L720" s="515"/>
      <c r="M720" s="514"/>
    </row>
    <row r="721" spans="1:13">
      <c r="A721" s="516"/>
      <c r="B721" s="517"/>
      <c r="C721" s="519"/>
      <c r="D721" s="519"/>
      <c r="E721" s="519"/>
      <c r="F721" s="518"/>
      <c r="G721" s="516"/>
      <c r="H721" s="517"/>
      <c r="I721" s="516"/>
      <c r="J721" s="516"/>
      <c r="K721" s="515"/>
      <c r="L721" s="515"/>
      <c r="M721" s="514"/>
    </row>
    <row r="722" spans="1:13">
      <c r="A722" s="516"/>
      <c r="B722" s="517"/>
      <c r="C722" s="519"/>
      <c r="D722" s="519"/>
      <c r="E722" s="519"/>
      <c r="F722" s="518"/>
      <c r="G722" s="516"/>
      <c r="H722" s="517"/>
      <c r="I722" s="516"/>
      <c r="J722" s="516"/>
      <c r="K722" s="515"/>
      <c r="L722" s="515"/>
      <c r="M722" s="514"/>
    </row>
    <row r="723" spans="1:13">
      <c r="A723" s="516"/>
      <c r="B723" s="517"/>
      <c r="C723" s="519"/>
      <c r="D723" s="519"/>
      <c r="E723" s="519"/>
      <c r="F723" s="518"/>
      <c r="G723" s="516"/>
      <c r="H723" s="517"/>
      <c r="I723" s="516"/>
      <c r="J723" s="516"/>
      <c r="K723" s="515"/>
      <c r="L723" s="515"/>
      <c r="M723" s="514"/>
    </row>
    <row r="724" spans="1:13">
      <c r="A724" s="516"/>
      <c r="B724" s="517"/>
      <c r="C724" s="519"/>
      <c r="D724" s="519"/>
      <c r="E724" s="519"/>
      <c r="F724" s="518"/>
      <c r="G724" s="516"/>
      <c r="H724" s="517"/>
      <c r="I724" s="516"/>
      <c r="J724" s="516"/>
      <c r="K724" s="515"/>
      <c r="L724" s="515"/>
      <c r="M724" s="514"/>
    </row>
    <row r="725" spans="1:13">
      <c r="A725" s="516"/>
      <c r="B725" s="517"/>
      <c r="C725" s="519"/>
      <c r="D725" s="519"/>
      <c r="E725" s="519"/>
      <c r="F725" s="518"/>
      <c r="G725" s="516"/>
      <c r="H725" s="517"/>
      <c r="I725" s="516"/>
      <c r="J725" s="516"/>
      <c r="K725" s="515"/>
      <c r="L725" s="515"/>
      <c r="M725" s="514"/>
    </row>
    <row r="726" spans="1:13">
      <c r="A726" s="516"/>
      <c r="B726" s="517"/>
      <c r="C726" s="519"/>
      <c r="D726" s="519"/>
      <c r="E726" s="519"/>
      <c r="F726" s="518"/>
      <c r="G726" s="516"/>
      <c r="H726" s="517"/>
      <c r="I726" s="516"/>
      <c r="J726" s="516"/>
      <c r="K726" s="515"/>
      <c r="L726" s="515"/>
      <c r="M726" s="514"/>
    </row>
    <row r="727" spans="1:13">
      <c r="A727" s="516"/>
      <c r="B727" s="517"/>
      <c r="C727" s="519"/>
      <c r="D727" s="519"/>
      <c r="E727" s="519"/>
      <c r="F727" s="518"/>
      <c r="G727" s="516"/>
      <c r="H727" s="517"/>
      <c r="I727" s="516"/>
      <c r="J727" s="516"/>
      <c r="K727" s="515"/>
      <c r="L727" s="515"/>
      <c r="M727" s="514"/>
    </row>
    <row r="728" spans="1:13">
      <c r="A728" s="516"/>
      <c r="B728" s="517"/>
      <c r="C728" s="519"/>
      <c r="D728" s="519"/>
      <c r="E728" s="519"/>
      <c r="F728" s="518"/>
      <c r="G728" s="516"/>
      <c r="H728" s="517"/>
      <c r="I728" s="516"/>
      <c r="J728" s="516"/>
      <c r="K728" s="515"/>
      <c r="L728" s="515"/>
      <c r="M728" s="514"/>
    </row>
    <row r="729" spans="1:13">
      <c r="A729" s="516"/>
      <c r="B729" s="517"/>
      <c r="C729" s="519"/>
      <c r="D729" s="519"/>
      <c r="E729" s="519"/>
      <c r="F729" s="518"/>
      <c r="G729" s="516"/>
      <c r="H729" s="517"/>
      <c r="I729" s="516"/>
      <c r="J729" s="516"/>
      <c r="K729" s="515"/>
      <c r="L729" s="515"/>
      <c r="M729" s="514"/>
    </row>
    <row r="730" spans="1:13">
      <c r="A730" s="516"/>
      <c r="B730" s="517"/>
      <c r="C730" s="519"/>
      <c r="D730" s="519"/>
      <c r="E730" s="519"/>
      <c r="F730" s="518"/>
      <c r="G730" s="516"/>
      <c r="H730" s="517"/>
      <c r="I730" s="516"/>
      <c r="J730" s="516"/>
      <c r="K730" s="515"/>
      <c r="L730" s="515"/>
      <c r="M730" s="514"/>
    </row>
    <row r="731" spans="1:13">
      <c r="A731" s="516"/>
      <c r="B731" s="517"/>
      <c r="C731" s="519"/>
      <c r="D731" s="519"/>
      <c r="E731" s="519"/>
      <c r="F731" s="518"/>
      <c r="G731" s="516"/>
      <c r="H731" s="517"/>
      <c r="I731" s="516"/>
      <c r="J731" s="516"/>
      <c r="K731" s="515"/>
      <c r="L731" s="515"/>
      <c r="M731" s="514"/>
    </row>
    <row r="732" spans="1:13">
      <c r="A732" s="516"/>
      <c r="B732" s="517"/>
      <c r="C732" s="519"/>
      <c r="D732" s="519"/>
      <c r="E732" s="519"/>
      <c r="F732" s="518"/>
      <c r="G732" s="516"/>
      <c r="H732" s="517"/>
      <c r="I732" s="516"/>
      <c r="J732" s="516"/>
      <c r="K732" s="515"/>
      <c r="L732" s="515"/>
      <c r="M732" s="514"/>
    </row>
    <row r="733" spans="1:13">
      <c r="A733" s="516"/>
      <c r="B733" s="517"/>
      <c r="C733" s="519"/>
      <c r="D733" s="519"/>
      <c r="E733" s="519"/>
      <c r="F733" s="518"/>
      <c r="G733" s="516"/>
      <c r="H733" s="517"/>
      <c r="I733" s="516"/>
      <c r="J733" s="516"/>
      <c r="K733" s="515"/>
      <c r="L733" s="515"/>
      <c r="M733" s="514"/>
    </row>
    <row r="734" spans="1:13">
      <c r="A734" s="516"/>
      <c r="B734" s="517"/>
      <c r="C734" s="519"/>
      <c r="D734" s="519"/>
      <c r="E734" s="519"/>
      <c r="F734" s="518"/>
      <c r="G734" s="516"/>
      <c r="H734" s="517"/>
      <c r="I734" s="516"/>
      <c r="J734" s="516"/>
      <c r="K734" s="515"/>
      <c r="L734" s="515"/>
      <c r="M734" s="514"/>
    </row>
    <row r="735" spans="1:13">
      <c r="A735" s="516"/>
      <c r="B735" s="517"/>
      <c r="C735" s="519"/>
      <c r="D735" s="519"/>
      <c r="E735" s="519"/>
      <c r="F735" s="518"/>
      <c r="G735" s="516"/>
      <c r="H735" s="517"/>
      <c r="I735" s="516"/>
      <c r="J735" s="516"/>
      <c r="K735" s="515"/>
      <c r="L735" s="515"/>
      <c r="M735" s="514"/>
    </row>
    <row r="736" spans="1:13">
      <c r="A736" s="516"/>
      <c r="B736" s="517"/>
      <c r="C736" s="519"/>
      <c r="D736" s="519"/>
      <c r="E736" s="519"/>
      <c r="F736" s="518"/>
      <c r="G736" s="516"/>
      <c r="H736" s="517"/>
      <c r="I736" s="516"/>
      <c r="J736" s="516"/>
      <c r="K736" s="515"/>
      <c r="L736" s="515"/>
      <c r="M736" s="514"/>
    </row>
    <row r="737" spans="1:13">
      <c r="A737" s="516"/>
      <c r="B737" s="517"/>
      <c r="C737" s="519"/>
      <c r="D737" s="519"/>
      <c r="E737" s="519"/>
      <c r="F737" s="518"/>
      <c r="G737" s="516"/>
      <c r="H737" s="517"/>
      <c r="I737" s="516"/>
      <c r="J737" s="516"/>
      <c r="K737" s="515"/>
      <c r="L737" s="515"/>
      <c r="M737" s="514"/>
    </row>
    <row r="738" spans="1:13">
      <c r="A738" s="516"/>
      <c r="B738" s="517"/>
      <c r="C738" s="519"/>
      <c r="D738" s="519"/>
      <c r="E738" s="519"/>
      <c r="F738" s="518"/>
      <c r="G738" s="516"/>
      <c r="H738" s="517"/>
      <c r="I738" s="516"/>
      <c r="J738" s="516"/>
      <c r="K738" s="515"/>
      <c r="L738" s="515"/>
      <c r="M738" s="514"/>
    </row>
    <row r="739" spans="1:13">
      <c r="A739" s="516"/>
      <c r="B739" s="517"/>
      <c r="C739" s="519"/>
      <c r="D739" s="519"/>
      <c r="E739" s="519"/>
      <c r="F739" s="518"/>
      <c r="G739" s="516"/>
      <c r="H739" s="517"/>
      <c r="I739" s="516"/>
      <c r="J739" s="516"/>
      <c r="K739" s="515"/>
      <c r="L739" s="515"/>
      <c r="M739" s="514"/>
    </row>
    <row r="740" spans="1:13">
      <c r="A740" s="516"/>
      <c r="B740" s="517"/>
      <c r="C740" s="519"/>
      <c r="D740" s="519"/>
      <c r="E740" s="519"/>
      <c r="F740" s="518"/>
      <c r="G740" s="516"/>
      <c r="H740" s="517"/>
      <c r="I740" s="516"/>
      <c r="J740" s="516"/>
      <c r="K740" s="515"/>
      <c r="L740" s="515"/>
      <c r="M740" s="514"/>
    </row>
    <row r="741" spans="1:13">
      <c r="A741" s="516"/>
      <c r="B741" s="517"/>
      <c r="C741" s="519"/>
      <c r="D741" s="519"/>
      <c r="E741" s="519"/>
      <c r="F741" s="518"/>
      <c r="G741" s="516"/>
      <c r="H741" s="517"/>
      <c r="I741" s="516"/>
      <c r="J741" s="516"/>
      <c r="K741" s="515"/>
      <c r="L741" s="515"/>
      <c r="M741" s="514"/>
    </row>
    <row r="742" spans="1:13">
      <c r="A742" s="516"/>
      <c r="B742" s="517"/>
      <c r="C742" s="519"/>
      <c r="D742" s="519"/>
      <c r="E742" s="519"/>
      <c r="F742" s="518"/>
      <c r="G742" s="516"/>
      <c r="H742" s="517"/>
      <c r="I742" s="516"/>
      <c r="J742" s="516"/>
      <c r="K742" s="515"/>
      <c r="L742" s="515"/>
      <c r="M742" s="514"/>
    </row>
    <row r="743" spans="1:13">
      <c r="A743" s="516"/>
      <c r="B743" s="517"/>
      <c r="C743" s="519"/>
      <c r="D743" s="519"/>
      <c r="E743" s="519"/>
      <c r="F743" s="518"/>
      <c r="G743" s="516"/>
      <c r="H743" s="517"/>
      <c r="I743" s="516"/>
      <c r="J743" s="516"/>
      <c r="K743" s="515"/>
      <c r="L743" s="515"/>
      <c r="M743" s="514"/>
    </row>
    <row r="744" spans="1:13">
      <c r="A744" s="516"/>
      <c r="B744" s="517"/>
      <c r="C744" s="519"/>
      <c r="D744" s="519"/>
      <c r="E744" s="519"/>
      <c r="F744" s="518"/>
      <c r="G744" s="516"/>
      <c r="H744" s="517"/>
      <c r="I744" s="516"/>
      <c r="J744" s="516"/>
      <c r="K744" s="515"/>
      <c r="L744" s="515"/>
      <c r="M744" s="514"/>
    </row>
    <row r="745" spans="1:13">
      <c r="A745" s="516"/>
      <c r="B745" s="517"/>
      <c r="C745" s="519"/>
      <c r="D745" s="519"/>
      <c r="E745" s="519"/>
      <c r="F745" s="518"/>
      <c r="G745" s="516"/>
      <c r="H745" s="517"/>
      <c r="I745" s="516"/>
      <c r="J745" s="516"/>
      <c r="K745" s="515"/>
      <c r="L745" s="515"/>
      <c r="M745" s="514"/>
    </row>
    <row r="746" spans="1:13">
      <c r="A746" s="516"/>
      <c r="B746" s="517"/>
      <c r="C746" s="519"/>
      <c r="D746" s="519"/>
      <c r="E746" s="519"/>
      <c r="F746" s="518"/>
      <c r="G746" s="516"/>
      <c r="H746" s="517"/>
      <c r="I746" s="516"/>
      <c r="J746" s="516"/>
      <c r="K746" s="515"/>
      <c r="L746" s="515"/>
      <c r="M746" s="514"/>
    </row>
    <row r="747" spans="1:13">
      <c r="A747" s="516"/>
      <c r="B747" s="517"/>
      <c r="C747" s="519"/>
      <c r="D747" s="519"/>
      <c r="E747" s="519"/>
      <c r="F747" s="518"/>
      <c r="G747" s="516"/>
      <c r="H747" s="517"/>
      <c r="I747" s="516"/>
      <c r="J747" s="516"/>
      <c r="K747" s="515"/>
      <c r="L747" s="515"/>
      <c r="M747" s="514"/>
    </row>
    <row r="748" spans="1:13">
      <c r="A748" s="516"/>
      <c r="B748" s="517"/>
      <c r="C748" s="519"/>
      <c r="D748" s="519"/>
      <c r="E748" s="519"/>
      <c r="F748" s="518"/>
      <c r="G748" s="516"/>
      <c r="H748" s="517"/>
      <c r="I748" s="516"/>
      <c r="J748" s="516"/>
      <c r="K748" s="515"/>
      <c r="L748" s="515"/>
      <c r="M748" s="514"/>
    </row>
    <row r="749" spans="1:13">
      <c r="A749" s="516"/>
      <c r="B749" s="517"/>
      <c r="C749" s="519"/>
      <c r="D749" s="519"/>
      <c r="E749" s="519"/>
      <c r="F749" s="518"/>
      <c r="G749" s="516"/>
      <c r="H749" s="517"/>
      <c r="I749" s="516"/>
      <c r="J749" s="516"/>
      <c r="K749" s="515"/>
      <c r="L749" s="515"/>
      <c r="M749" s="514"/>
    </row>
    <row r="750" spans="1:13">
      <c r="A750" s="516"/>
      <c r="B750" s="517"/>
      <c r="C750" s="519"/>
      <c r="D750" s="519"/>
      <c r="E750" s="519"/>
      <c r="F750" s="518"/>
      <c r="G750" s="516"/>
      <c r="H750" s="517"/>
      <c r="I750" s="516"/>
      <c r="J750" s="516"/>
      <c r="K750" s="515"/>
      <c r="L750" s="515"/>
      <c r="M750" s="514"/>
    </row>
    <row r="751" spans="1:13">
      <c r="A751" s="516"/>
      <c r="B751" s="517"/>
      <c r="C751" s="519"/>
      <c r="D751" s="519"/>
      <c r="E751" s="519"/>
      <c r="F751" s="518"/>
      <c r="G751" s="516"/>
      <c r="H751" s="517"/>
      <c r="I751" s="516"/>
      <c r="J751" s="516"/>
      <c r="K751" s="515"/>
      <c r="L751" s="515"/>
      <c r="M751" s="514"/>
    </row>
    <row r="752" spans="1:13">
      <c r="A752" s="516"/>
      <c r="B752" s="517"/>
      <c r="C752" s="519"/>
      <c r="D752" s="519"/>
      <c r="E752" s="519"/>
      <c r="F752" s="518"/>
      <c r="G752" s="516"/>
      <c r="H752" s="517"/>
      <c r="I752" s="516"/>
      <c r="J752" s="516"/>
      <c r="K752" s="515"/>
      <c r="L752" s="515"/>
      <c r="M752" s="514"/>
    </row>
    <row r="753" spans="1:13">
      <c r="A753" s="516"/>
      <c r="B753" s="517"/>
      <c r="C753" s="519"/>
      <c r="D753" s="519"/>
      <c r="E753" s="519"/>
      <c r="F753" s="518"/>
      <c r="G753" s="516"/>
      <c r="H753" s="517"/>
      <c r="I753" s="516"/>
      <c r="J753" s="516"/>
      <c r="K753" s="515"/>
      <c r="L753" s="515"/>
      <c r="M753" s="514"/>
    </row>
    <row r="754" spans="1:13">
      <c r="A754" s="516"/>
      <c r="B754" s="517"/>
      <c r="C754" s="519"/>
      <c r="D754" s="519"/>
      <c r="E754" s="519"/>
      <c r="F754" s="518"/>
      <c r="G754" s="516"/>
      <c r="H754" s="517"/>
      <c r="I754" s="516"/>
      <c r="J754" s="516"/>
      <c r="K754" s="515"/>
      <c r="L754" s="515"/>
      <c r="M754" s="514"/>
    </row>
    <row r="755" spans="1:13">
      <c r="A755" s="516"/>
      <c r="B755" s="517"/>
      <c r="C755" s="519"/>
      <c r="D755" s="519"/>
      <c r="E755" s="519"/>
      <c r="F755" s="518"/>
      <c r="G755" s="516"/>
      <c r="H755" s="517"/>
      <c r="I755" s="516"/>
      <c r="J755" s="516"/>
      <c r="K755" s="515"/>
      <c r="L755" s="515"/>
      <c r="M755" s="514"/>
    </row>
    <row r="756" spans="1:13">
      <c r="A756" s="516"/>
      <c r="B756" s="517"/>
      <c r="C756" s="519"/>
      <c r="D756" s="519"/>
      <c r="E756" s="519"/>
      <c r="F756" s="518"/>
      <c r="G756" s="516"/>
      <c r="H756" s="517"/>
      <c r="I756" s="516"/>
      <c r="J756" s="516"/>
      <c r="K756" s="515"/>
      <c r="L756" s="515"/>
      <c r="M756" s="514"/>
    </row>
    <row r="757" spans="1:13">
      <c r="A757" s="516"/>
      <c r="B757" s="517"/>
      <c r="C757" s="519"/>
      <c r="D757" s="519"/>
      <c r="E757" s="519"/>
      <c r="F757" s="518"/>
      <c r="G757" s="516"/>
      <c r="H757" s="517"/>
      <c r="I757" s="516"/>
      <c r="J757" s="516"/>
      <c r="K757" s="515"/>
      <c r="L757" s="515"/>
      <c r="M757" s="514"/>
    </row>
    <row r="758" spans="1:13">
      <c r="A758" s="516"/>
      <c r="B758" s="517"/>
      <c r="C758" s="519"/>
      <c r="D758" s="519"/>
      <c r="E758" s="519"/>
      <c r="F758" s="518"/>
      <c r="G758" s="516"/>
      <c r="H758" s="517"/>
      <c r="I758" s="516"/>
      <c r="J758" s="516"/>
      <c r="K758" s="515"/>
      <c r="L758" s="515"/>
      <c r="M758" s="514"/>
    </row>
    <row r="759" spans="1:13">
      <c r="A759" s="516"/>
      <c r="B759" s="517"/>
      <c r="C759" s="519"/>
      <c r="D759" s="519"/>
      <c r="E759" s="519"/>
      <c r="F759" s="518"/>
      <c r="G759" s="516"/>
      <c r="H759" s="517"/>
      <c r="I759" s="516"/>
      <c r="J759" s="516"/>
      <c r="K759" s="515"/>
      <c r="L759" s="515"/>
      <c r="M759" s="514"/>
    </row>
    <row r="760" spans="1:13">
      <c r="A760" s="516"/>
      <c r="B760" s="517"/>
      <c r="C760" s="519"/>
      <c r="D760" s="519"/>
      <c r="E760" s="519"/>
      <c r="F760" s="518"/>
      <c r="G760" s="516"/>
      <c r="H760" s="517"/>
      <c r="I760" s="516"/>
      <c r="J760" s="516"/>
      <c r="K760" s="515"/>
      <c r="L760" s="515"/>
      <c r="M760" s="514"/>
    </row>
    <row r="761" spans="1:13">
      <c r="A761" s="516"/>
      <c r="B761" s="517"/>
      <c r="C761" s="519"/>
      <c r="D761" s="519"/>
      <c r="E761" s="519"/>
      <c r="F761" s="518"/>
      <c r="G761" s="516"/>
      <c r="H761" s="517"/>
      <c r="I761" s="516"/>
      <c r="J761" s="516"/>
      <c r="K761" s="515"/>
      <c r="L761" s="515"/>
      <c r="M761" s="514"/>
    </row>
    <row r="762" spans="1:13">
      <c r="A762" s="516"/>
      <c r="B762" s="517"/>
      <c r="C762" s="519"/>
      <c r="D762" s="519"/>
      <c r="E762" s="519"/>
      <c r="F762" s="518"/>
      <c r="G762" s="516"/>
      <c r="H762" s="517"/>
      <c r="I762" s="516"/>
      <c r="J762" s="516"/>
      <c r="K762" s="515"/>
      <c r="L762" s="515"/>
      <c r="M762" s="514"/>
    </row>
    <row r="763" spans="1:13">
      <c r="A763" s="516"/>
      <c r="B763" s="517"/>
      <c r="C763" s="519"/>
      <c r="D763" s="519"/>
      <c r="E763" s="519"/>
      <c r="F763" s="518"/>
      <c r="G763" s="516"/>
      <c r="H763" s="517"/>
      <c r="I763" s="516"/>
      <c r="J763" s="516"/>
      <c r="K763" s="515"/>
      <c r="L763" s="515"/>
      <c r="M763" s="514"/>
    </row>
    <row r="764" spans="1:13">
      <c r="A764" s="516"/>
      <c r="B764" s="517"/>
      <c r="C764" s="519"/>
      <c r="D764" s="519"/>
      <c r="E764" s="519"/>
      <c r="F764" s="518"/>
      <c r="G764" s="516"/>
      <c r="H764" s="517"/>
      <c r="I764" s="516"/>
      <c r="J764" s="516"/>
      <c r="K764" s="515"/>
      <c r="L764" s="515"/>
      <c r="M764" s="514"/>
    </row>
    <row r="765" spans="1:13">
      <c r="A765" s="516"/>
      <c r="B765" s="517"/>
      <c r="C765" s="519"/>
      <c r="D765" s="519"/>
      <c r="E765" s="519"/>
      <c r="F765" s="518"/>
      <c r="G765" s="516"/>
      <c r="H765" s="517"/>
      <c r="I765" s="516"/>
      <c r="J765" s="516"/>
      <c r="K765" s="515"/>
      <c r="L765" s="515"/>
      <c r="M765" s="514"/>
    </row>
    <row r="766" spans="1:13">
      <c r="A766" s="516"/>
      <c r="B766" s="517"/>
      <c r="C766" s="519"/>
      <c r="D766" s="519"/>
      <c r="E766" s="519"/>
      <c r="F766" s="518"/>
      <c r="G766" s="516"/>
      <c r="H766" s="517"/>
      <c r="I766" s="516"/>
      <c r="J766" s="516"/>
      <c r="K766" s="515"/>
      <c r="L766" s="515"/>
      <c r="M766" s="514"/>
    </row>
    <row r="767" spans="1:13">
      <c r="A767" s="516"/>
      <c r="B767" s="517"/>
      <c r="C767" s="519"/>
      <c r="D767" s="519"/>
      <c r="E767" s="519"/>
      <c r="F767" s="518"/>
      <c r="G767" s="516"/>
      <c r="H767" s="517"/>
      <c r="I767" s="516"/>
      <c r="J767" s="516"/>
      <c r="K767" s="515"/>
      <c r="L767" s="515"/>
      <c r="M767" s="514"/>
    </row>
    <row r="768" spans="1:13">
      <c r="A768" s="516"/>
      <c r="B768" s="517"/>
      <c r="C768" s="519"/>
      <c r="D768" s="519"/>
      <c r="E768" s="519"/>
      <c r="F768" s="518"/>
      <c r="G768" s="516"/>
      <c r="H768" s="517"/>
      <c r="I768" s="516"/>
      <c r="J768" s="516"/>
      <c r="K768" s="515"/>
      <c r="L768" s="515"/>
      <c r="M768" s="514"/>
    </row>
    <row r="769" spans="1:13">
      <c r="A769" s="516"/>
      <c r="B769" s="517"/>
      <c r="C769" s="519"/>
      <c r="D769" s="519"/>
      <c r="E769" s="519"/>
      <c r="F769" s="518"/>
      <c r="G769" s="516"/>
      <c r="H769" s="517"/>
      <c r="I769" s="516"/>
      <c r="J769" s="516"/>
      <c r="K769" s="515"/>
      <c r="L769" s="515"/>
      <c r="M769" s="514"/>
    </row>
    <row r="770" spans="1:13">
      <c r="A770" s="516"/>
      <c r="B770" s="517"/>
      <c r="C770" s="519"/>
      <c r="D770" s="519"/>
      <c r="E770" s="519"/>
      <c r="F770" s="518"/>
      <c r="G770" s="516"/>
      <c r="H770" s="517"/>
      <c r="I770" s="516"/>
      <c r="J770" s="516"/>
      <c r="K770" s="515"/>
      <c r="L770" s="515"/>
      <c r="M770" s="514"/>
    </row>
    <row r="771" spans="1:13">
      <c r="A771" s="516"/>
      <c r="B771" s="517"/>
      <c r="C771" s="519"/>
      <c r="D771" s="519"/>
      <c r="E771" s="519"/>
      <c r="F771" s="518"/>
      <c r="G771" s="516"/>
      <c r="H771" s="517"/>
      <c r="I771" s="516"/>
      <c r="J771" s="516"/>
      <c r="K771" s="515"/>
      <c r="L771" s="515"/>
      <c r="M771" s="514"/>
    </row>
    <row r="772" spans="1:13">
      <c r="A772" s="516"/>
      <c r="B772" s="517"/>
      <c r="C772" s="519"/>
      <c r="D772" s="519"/>
      <c r="E772" s="519"/>
      <c r="F772" s="518"/>
      <c r="G772" s="516"/>
      <c r="H772" s="517"/>
      <c r="I772" s="516"/>
      <c r="J772" s="516"/>
      <c r="K772" s="515"/>
      <c r="L772" s="515"/>
      <c r="M772" s="514"/>
    </row>
    <row r="773" spans="1:13">
      <c r="A773" s="516"/>
      <c r="B773" s="517"/>
      <c r="C773" s="519"/>
      <c r="D773" s="519"/>
      <c r="E773" s="519"/>
      <c r="F773" s="518"/>
      <c r="G773" s="516"/>
      <c r="H773" s="517"/>
      <c r="I773" s="516"/>
      <c r="J773" s="516"/>
      <c r="K773" s="515"/>
      <c r="L773" s="515"/>
      <c r="M773" s="514"/>
    </row>
    <row r="774" spans="1:13">
      <c r="A774" s="516"/>
      <c r="B774" s="517"/>
      <c r="C774" s="519"/>
      <c r="D774" s="519"/>
      <c r="E774" s="519"/>
      <c r="F774" s="518"/>
      <c r="G774" s="516"/>
      <c r="H774" s="517"/>
      <c r="I774" s="516"/>
      <c r="J774" s="516"/>
      <c r="K774" s="515"/>
      <c r="L774" s="515"/>
      <c r="M774" s="514"/>
    </row>
    <row r="775" spans="1:13">
      <c r="A775" s="516"/>
      <c r="B775" s="517"/>
      <c r="C775" s="519"/>
      <c r="D775" s="519"/>
      <c r="E775" s="519"/>
      <c r="F775" s="518"/>
      <c r="G775" s="516"/>
      <c r="H775" s="517"/>
      <c r="I775" s="516"/>
      <c r="J775" s="516"/>
      <c r="K775" s="515"/>
      <c r="L775" s="515"/>
      <c r="M775" s="514"/>
    </row>
    <row r="776" spans="1:13">
      <c r="A776" s="516"/>
      <c r="B776" s="517"/>
      <c r="C776" s="519"/>
      <c r="D776" s="519"/>
      <c r="E776" s="519"/>
      <c r="F776" s="518"/>
      <c r="G776" s="516"/>
      <c r="H776" s="517"/>
      <c r="I776" s="516"/>
      <c r="J776" s="516"/>
      <c r="K776" s="515"/>
      <c r="L776" s="515"/>
      <c r="M776" s="514"/>
    </row>
    <row r="777" spans="1:13">
      <c r="A777" s="516"/>
      <c r="B777" s="517"/>
      <c r="C777" s="519"/>
      <c r="D777" s="519"/>
      <c r="E777" s="519"/>
      <c r="F777" s="518"/>
      <c r="G777" s="516"/>
      <c r="H777" s="517"/>
      <c r="I777" s="516"/>
      <c r="J777" s="516"/>
      <c r="K777" s="515"/>
      <c r="L777" s="515"/>
      <c r="M777" s="514"/>
    </row>
    <row r="778" spans="1:13">
      <c r="A778" s="516"/>
      <c r="B778" s="517"/>
      <c r="C778" s="519"/>
      <c r="D778" s="519"/>
      <c r="E778" s="519"/>
      <c r="F778" s="518"/>
      <c r="G778" s="516"/>
      <c r="H778" s="517"/>
      <c r="I778" s="516"/>
      <c r="J778" s="516"/>
      <c r="K778" s="515"/>
      <c r="L778" s="515"/>
      <c r="M778" s="514"/>
    </row>
    <row r="779" spans="1:13">
      <c r="A779" s="516"/>
      <c r="B779" s="517"/>
      <c r="C779" s="519"/>
      <c r="D779" s="519"/>
      <c r="E779" s="519"/>
      <c r="F779" s="518"/>
      <c r="G779" s="516"/>
      <c r="H779" s="517"/>
      <c r="I779" s="516"/>
      <c r="J779" s="516"/>
      <c r="K779" s="515"/>
      <c r="L779" s="515"/>
      <c r="M779" s="514"/>
    </row>
    <row r="780" spans="1:13">
      <c r="A780" s="516"/>
      <c r="B780" s="517"/>
      <c r="C780" s="519"/>
      <c r="D780" s="519"/>
      <c r="E780" s="519"/>
      <c r="F780" s="518"/>
      <c r="G780" s="516"/>
      <c r="H780" s="517"/>
      <c r="I780" s="516"/>
      <c r="J780" s="516"/>
      <c r="K780" s="515"/>
      <c r="L780" s="515"/>
      <c r="M780" s="514"/>
    </row>
    <row r="781" spans="1:13">
      <c r="A781" s="516"/>
      <c r="B781" s="517"/>
      <c r="C781" s="519"/>
      <c r="D781" s="519"/>
      <c r="E781" s="519"/>
      <c r="F781" s="518"/>
      <c r="G781" s="516"/>
      <c r="H781" s="517"/>
      <c r="I781" s="516"/>
      <c r="J781" s="516"/>
      <c r="K781" s="515"/>
      <c r="L781" s="515"/>
      <c r="M781" s="514"/>
    </row>
    <row r="782" spans="1:13">
      <c r="A782" s="516"/>
      <c r="B782" s="517"/>
      <c r="C782" s="519"/>
      <c r="D782" s="519"/>
      <c r="E782" s="519"/>
      <c r="F782" s="518"/>
      <c r="G782" s="516"/>
      <c r="H782" s="517"/>
      <c r="I782" s="516"/>
      <c r="J782" s="516"/>
      <c r="K782" s="515"/>
      <c r="L782" s="515"/>
      <c r="M782" s="514"/>
    </row>
    <row r="783" spans="1:13">
      <c r="A783" s="516"/>
      <c r="B783" s="517"/>
      <c r="C783" s="519"/>
      <c r="D783" s="519"/>
      <c r="E783" s="519"/>
      <c r="F783" s="518"/>
      <c r="G783" s="516"/>
      <c r="H783" s="517"/>
      <c r="I783" s="516"/>
      <c r="J783" s="516"/>
      <c r="K783" s="515"/>
      <c r="L783" s="515"/>
      <c r="M783" s="514"/>
    </row>
    <row r="784" spans="1:13">
      <c r="A784" s="516"/>
      <c r="B784" s="517"/>
      <c r="C784" s="519"/>
      <c r="D784" s="519"/>
      <c r="E784" s="519"/>
      <c r="F784" s="518"/>
      <c r="G784" s="516"/>
      <c r="H784" s="517"/>
      <c r="I784" s="516"/>
      <c r="J784" s="516"/>
      <c r="K784" s="515"/>
      <c r="L784" s="515"/>
      <c r="M784" s="514"/>
    </row>
    <row r="785" spans="1:13">
      <c r="A785" s="516"/>
      <c r="B785" s="517"/>
      <c r="C785" s="519"/>
      <c r="D785" s="519"/>
      <c r="E785" s="519"/>
      <c r="F785" s="518"/>
      <c r="G785" s="516"/>
      <c r="H785" s="517"/>
      <c r="I785" s="516"/>
      <c r="J785" s="516"/>
      <c r="K785" s="515"/>
      <c r="L785" s="515"/>
      <c r="M785" s="514"/>
    </row>
    <row r="786" spans="1:13">
      <c r="A786" s="516"/>
      <c r="B786" s="517"/>
      <c r="C786" s="519"/>
      <c r="D786" s="519"/>
      <c r="E786" s="519"/>
      <c r="F786" s="518"/>
      <c r="G786" s="516"/>
      <c r="H786" s="517"/>
      <c r="I786" s="516"/>
      <c r="J786" s="516"/>
      <c r="K786" s="515"/>
      <c r="L786" s="515"/>
      <c r="M786" s="514"/>
    </row>
    <row r="787" spans="1:13">
      <c r="A787" s="516"/>
      <c r="B787" s="517"/>
      <c r="C787" s="519"/>
      <c r="D787" s="519"/>
      <c r="E787" s="519"/>
      <c r="F787" s="518"/>
      <c r="G787" s="516"/>
      <c r="H787" s="517"/>
      <c r="I787" s="516"/>
      <c r="J787" s="516"/>
      <c r="K787" s="515"/>
      <c r="L787" s="515"/>
      <c r="M787" s="514"/>
    </row>
    <row r="788" spans="1:13">
      <c r="A788" s="516"/>
      <c r="B788" s="517"/>
      <c r="C788" s="519"/>
      <c r="D788" s="519"/>
      <c r="E788" s="519"/>
      <c r="F788" s="518"/>
      <c r="G788" s="516"/>
      <c r="H788" s="517"/>
      <c r="I788" s="516"/>
      <c r="J788" s="516"/>
      <c r="K788" s="515"/>
      <c r="L788" s="515"/>
      <c r="M788" s="514"/>
    </row>
    <row r="789" spans="1:13">
      <c r="A789" s="516"/>
      <c r="B789" s="517"/>
      <c r="C789" s="519"/>
      <c r="D789" s="519"/>
      <c r="E789" s="519"/>
      <c r="F789" s="518"/>
      <c r="G789" s="516"/>
      <c r="H789" s="517"/>
      <c r="I789" s="516"/>
      <c r="J789" s="516"/>
      <c r="K789" s="515"/>
      <c r="L789" s="515"/>
      <c r="M789" s="514"/>
    </row>
    <row r="790" spans="1:13">
      <c r="A790" s="516"/>
      <c r="B790" s="517"/>
      <c r="C790" s="519"/>
      <c r="D790" s="519"/>
      <c r="E790" s="519"/>
      <c r="F790" s="518"/>
      <c r="G790" s="516"/>
      <c r="H790" s="517"/>
      <c r="I790" s="516"/>
      <c r="J790" s="516"/>
      <c r="K790" s="515"/>
      <c r="L790" s="515"/>
      <c r="M790" s="514"/>
    </row>
    <row r="791" spans="1:13">
      <c r="A791" s="516"/>
      <c r="B791" s="517"/>
      <c r="C791" s="519"/>
      <c r="D791" s="519"/>
      <c r="E791" s="519"/>
      <c r="F791" s="518"/>
      <c r="G791" s="516"/>
      <c r="H791" s="517"/>
      <c r="I791" s="516"/>
      <c r="J791" s="516"/>
      <c r="K791" s="515"/>
      <c r="L791" s="515"/>
      <c r="M791" s="514"/>
    </row>
    <row r="792" spans="1:13">
      <c r="A792" s="516"/>
      <c r="B792" s="517"/>
      <c r="C792" s="519"/>
      <c r="D792" s="519"/>
      <c r="E792" s="519"/>
      <c r="F792" s="518"/>
      <c r="G792" s="516"/>
      <c r="H792" s="517"/>
      <c r="I792" s="516"/>
      <c r="J792" s="516"/>
      <c r="K792" s="515"/>
      <c r="L792" s="515"/>
      <c r="M792" s="514"/>
    </row>
    <row r="793" spans="1:13">
      <c r="A793" s="516"/>
      <c r="B793" s="517"/>
      <c r="C793" s="519"/>
      <c r="D793" s="519"/>
      <c r="E793" s="519"/>
      <c r="F793" s="518"/>
      <c r="G793" s="516"/>
      <c r="H793" s="517"/>
      <c r="I793" s="516"/>
      <c r="J793" s="516"/>
      <c r="K793" s="515"/>
      <c r="L793" s="515"/>
      <c r="M793" s="514"/>
    </row>
    <row r="794" spans="1:13">
      <c r="A794" s="516"/>
      <c r="B794" s="517"/>
      <c r="C794" s="519"/>
      <c r="D794" s="519"/>
      <c r="E794" s="519"/>
      <c r="F794" s="518"/>
      <c r="G794" s="516"/>
      <c r="H794" s="517"/>
      <c r="I794" s="516"/>
      <c r="J794" s="516"/>
      <c r="K794" s="515"/>
      <c r="L794" s="515"/>
      <c r="M794" s="514"/>
    </row>
    <row r="795" spans="1:13">
      <c r="A795" s="516"/>
      <c r="B795" s="517"/>
      <c r="C795" s="519"/>
      <c r="D795" s="519"/>
      <c r="E795" s="519"/>
      <c r="F795" s="518"/>
      <c r="G795" s="516"/>
      <c r="H795" s="517"/>
      <c r="I795" s="516"/>
      <c r="J795" s="516"/>
      <c r="K795" s="515"/>
      <c r="L795" s="515"/>
      <c r="M795" s="514"/>
    </row>
    <row r="796" spans="1:13">
      <c r="A796" s="516"/>
      <c r="B796" s="517"/>
      <c r="C796" s="519"/>
      <c r="D796" s="519"/>
      <c r="E796" s="519"/>
      <c r="F796" s="518"/>
      <c r="G796" s="516"/>
      <c r="H796" s="517"/>
      <c r="I796" s="516"/>
      <c r="J796" s="516"/>
      <c r="K796" s="515"/>
      <c r="L796" s="515"/>
      <c r="M796" s="514"/>
    </row>
    <row r="797" spans="1:13">
      <c r="A797" s="516"/>
      <c r="B797" s="517"/>
      <c r="C797" s="519"/>
      <c r="D797" s="519"/>
      <c r="E797" s="519"/>
      <c r="F797" s="518"/>
      <c r="G797" s="516"/>
      <c r="H797" s="517"/>
      <c r="I797" s="516"/>
      <c r="J797" s="516"/>
      <c r="K797" s="515"/>
      <c r="L797" s="515"/>
      <c r="M797" s="514"/>
    </row>
    <row r="798" spans="1:13">
      <c r="A798" s="516"/>
      <c r="B798" s="517"/>
      <c r="C798" s="519"/>
      <c r="D798" s="519"/>
      <c r="E798" s="519"/>
      <c r="F798" s="518"/>
      <c r="G798" s="516"/>
      <c r="H798" s="517"/>
      <c r="I798" s="516"/>
      <c r="J798" s="516"/>
      <c r="K798" s="515"/>
      <c r="L798" s="515"/>
      <c r="M798" s="514"/>
    </row>
    <row r="799" spans="1:13">
      <c r="A799" s="516"/>
      <c r="B799" s="517"/>
      <c r="C799" s="519"/>
      <c r="D799" s="519"/>
      <c r="E799" s="519"/>
      <c r="F799" s="518"/>
      <c r="G799" s="516"/>
      <c r="H799" s="517"/>
      <c r="I799" s="516"/>
      <c r="J799" s="516"/>
      <c r="K799" s="515"/>
      <c r="L799" s="515"/>
      <c r="M799" s="514"/>
    </row>
    <row r="800" spans="1:13">
      <c r="A800" s="516"/>
      <c r="B800" s="517"/>
      <c r="C800" s="519"/>
      <c r="D800" s="519"/>
      <c r="E800" s="519"/>
      <c r="F800" s="518"/>
      <c r="G800" s="516"/>
      <c r="H800" s="517"/>
      <c r="I800" s="516"/>
      <c r="J800" s="516"/>
      <c r="K800" s="515"/>
      <c r="L800" s="515"/>
      <c r="M800" s="514"/>
    </row>
    <row r="801" spans="1:13">
      <c r="A801" s="516"/>
      <c r="B801" s="517"/>
      <c r="C801" s="519"/>
      <c r="D801" s="519"/>
      <c r="E801" s="519"/>
      <c r="F801" s="518"/>
      <c r="G801" s="516"/>
      <c r="H801" s="517"/>
      <c r="I801" s="516"/>
      <c r="J801" s="516"/>
      <c r="K801" s="515"/>
      <c r="L801" s="515"/>
      <c r="M801" s="514"/>
    </row>
    <row r="802" spans="1:13">
      <c r="A802" s="516"/>
      <c r="B802" s="517"/>
      <c r="C802" s="519"/>
      <c r="D802" s="519"/>
      <c r="E802" s="519"/>
      <c r="F802" s="518"/>
      <c r="G802" s="516"/>
      <c r="H802" s="517"/>
      <c r="I802" s="516"/>
      <c r="J802" s="516"/>
      <c r="K802" s="515"/>
      <c r="L802" s="515"/>
      <c r="M802" s="514"/>
    </row>
    <row r="803" spans="1:13">
      <c r="A803" s="516"/>
      <c r="B803" s="517"/>
      <c r="C803" s="519"/>
      <c r="D803" s="519"/>
      <c r="E803" s="519"/>
      <c r="F803" s="518"/>
      <c r="G803" s="516"/>
      <c r="H803" s="517"/>
      <c r="I803" s="516"/>
      <c r="J803" s="516"/>
      <c r="K803" s="515"/>
      <c r="L803" s="515"/>
      <c r="M803" s="514"/>
    </row>
    <row r="804" spans="1:13">
      <c r="A804" s="516"/>
      <c r="B804" s="517"/>
      <c r="C804" s="519"/>
      <c r="D804" s="519"/>
      <c r="E804" s="519"/>
      <c r="F804" s="518"/>
      <c r="G804" s="516"/>
      <c r="H804" s="517"/>
      <c r="I804" s="516"/>
      <c r="J804" s="516"/>
      <c r="K804" s="515"/>
      <c r="L804" s="515"/>
      <c r="M804" s="514"/>
    </row>
    <row r="805" spans="1:13">
      <c r="A805" s="516"/>
      <c r="B805" s="517"/>
      <c r="C805" s="519"/>
      <c r="D805" s="519"/>
      <c r="E805" s="519"/>
      <c r="F805" s="518"/>
      <c r="G805" s="516"/>
      <c r="H805" s="517"/>
      <c r="I805" s="516"/>
      <c r="J805" s="516"/>
      <c r="K805" s="515"/>
      <c r="L805" s="515"/>
      <c r="M805" s="514"/>
    </row>
    <row r="806" spans="1:13">
      <c r="A806" s="516"/>
      <c r="B806" s="517"/>
      <c r="C806" s="519"/>
      <c r="D806" s="519"/>
      <c r="E806" s="519"/>
      <c r="F806" s="518"/>
      <c r="G806" s="516"/>
      <c r="H806" s="517"/>
      <c r="I806" s="516"/>
      <c r="J806" s="516"/>
      <c r="K806" s="515"/>
      <c r="L806" s="515"/>
      <c r="M806" s="514"/>
    </row>
    <row r="807" spans="1:13">
      <c r="A807" s="516"/>
      <c r="B807" s="517"/>
      <c r="C807" s="519"/>
      <c r="D807" s="519"/>
      <c r="E807" s="519"/>
      <c r="F807" s="518"/>
      <c r="G807" s="516"/>
      <c r="H807" s="517"/>
      <c r="I807" s="516"/>
      <c r="J807" s="516"/>
      <c r="K807" s="515"/>
      <c r="L807" s="515"/>
      <c r="M807" s="514"/>
    </row>
    <row r="808" spans="1:13">
      <c r="A808" s="516"/>
      <c r="B808" s="517"/>
      <c r="C808" s="519"/>
      <c r="D808" s="519"/>
      <c r="E808" s="519"/>
      <c r="F808" s="518"/>
      <c r="G808" s="516"/>
      <c r="H808" s="517"/>
      <c r="I808" s="516"/>
      <c r="J808" s="516"/>
      <c r="K808" s="515"/>
      <c r="L808" s="515"/>
      <c r="M808" s="514"/>
    </row>
    <row r="809" spans="1:13">
      <c r="A809" s="516"/>
      <c r="B809" s="517"/>
      <c r="C809" s="519"/>
      <c r="D809" s="519"/>
      <c r="E809" s="519"/>
      <c r="F809" s="518"/>
      <c r="G809" s="516"/>
      <c r="H809" s="517"/>
      <c r="I809" s="516"/>
      <c r="J809" s="516"/>
      <c r="K809" s="515"/>
      <c r="L809" s="515"/>
      <c r="M809" s="514"/>
    </row>
    <row r="810" spans="1:13">
      <c r="A810" s="516"/>
      <c r="B810" s="517"/>
      <c r="C810" s="519"/>
      <c r="D810" s="519"/>
      <c r="E810" s="519"/>
      <c r="F810" s="518"/>
      <c r="G810" s="516"/>
      <c r="H810" s="517"/>
      <c r="I810" s="516"/>
      <c r="J810" s="516"/>
      <c r="K810" s="515"/>
      <c r="L810" s="515"/>
      <c r="M810" s="514"/>
    </row>
    <row r="811" spans="1:13">
      <c r="A811" s="516"/>
      <c r="B811" s="517"/>
      <c r="C811" s="519"/>
      <c r="D811" s="519"/>
      <c r="E811" s="519"/>
      <c r="F811" s="518"/>
      <c r="G811" s="516"/>
      <c r="H811" s="517"/>
      <c r="I811" s="516"/>
      <c r="J811" s="516"/>
      <c r="K811" s="515"/>
      <c r="L811" s="515"/>
      <c r="M811" s="514"/>
    </row>
    <row r="812" spans="1:13">
      <c r="A812" s="516"/>
      <c r="B812" s="517"/>
      <c r="C812" s="519"/>
      <c r="D812" s="519"/>
      <c r="E812" s="519"/>
      <c r="F812" s="518"/>
      <c r="G812" s="516"/>
      <c r="H812" s="517"/>
      <c r="I812" s="516"/>
      <c r="J812" s="516"/>
      <c r="K812" s="515"/>
      <c r="L812" s="515"/>
      <c r="M812" s="514"/>
    </row>
    <row r="813" spans="1:13">
      <c r="A813" s="516"/>
      <c r="B813" s="517"/>
      <c r="C813" s="519"/>
      <c r="D813" s="519"/>
      <c r="E813" s="519"/>
      <c r="F813" s="518"/>
      <c r="G813" s="516"/>
      <c r="H813" s="517"/>
      <c r="I813" s="516"/>
      <c r="J813" s="516"/>
      <c r="K813" s="515"/>
      <c r="L813" s="515"/>
      <c r="M813" s="514"/>
    </row>
    <row r="814" spans="1:13">
      <c r="A814" s="516"/>
      <c r="B814" s="517"/>
      <c r="C814" s="519"/>
      <c r="D814" s="519"/>
      <c r="E814" s="519"/>
      <c r="F814" s="518"/>
      <c r="G814" s="516"/>
      <c r="H814" s="517"/>
      <c r="I814" s="516"/>
      <c r="J814" s="516"/>
      <c r="K814" s="515"/>
      <c r="L814" s="515"/>
      <c r="M814" s="514"/>
    </row>
    <row r="815" spans="1:13">
      <c r="A815" s="516"/>
      <c r="B815" s="517"/>
      <c r="C815" s="519"/>
      <c r="D815" s="519"/>
      <c r="E815" s="519"/>
      <c r="F815" s="518"/>
      <c r="G815" s="516"/>
      <c r="H815" s="517"/>
      <c r="I815" s="516"/>
      <c r="J815" s="516"/>
      <c r="K815" s="515"/>
      <c r="L815" s="515"/>
      <c r="M815" s="514"/>
    </row>
    <row r="816" spans="1:13">
      <c r="A816" s="516"/>
      <c r="B816" s="517"/>
      <c r="C816" s="519"/>
      <c r="D816" s="519"/>
      <c r="E816" s="519"/>
      <c r="F816" s="518"/>
      <c r="G816" s="516"/>
      <c r="H816" s="517"/>
      <c r="I816" s="516"/>
      <c r="J816" s="516"/>
      <c r="K816" s="515"/>
      <c r="L816" s="515"/>
      <c r="M816" s="514"/>
    </row>
    <row r="817" spans="1:13">
      <c r="A817" s="516"/>
      <c r="B817" s="517"/>
      <c r="C817" s="519"/>
      <c r="D817" s="519"/>
      <c r="E817" s="519"/>
      <c r="F817" s="518"/>
      <c r="G817" s="516"/>
      <c r="H817" s="517"/>
      <c r="I817" s="516"/>
      <c r="J817" s="516"/>
      <c r="K817" s="515"/>
      <c r="L817" s="515"/>
      <c r="M817" s="514"/>
    </row>
    <row r="818" spans="1:13">
      <c r="A818" s="516"/>
      <c r="B818" s="517"/>
      <c r="C818" s="519"/>
      <c r="D818" s="519"/>
      <c r="E818" s="519"/>
      <c r="F818" s="518"/>
      <c r="G818" s="516"/>
      <c r="H818" s="517"/>
      <c r="I818" s="516"/>
      <c r="J818" s="516"/>
      <c r="K818" s="515"/>
      <c r="L818" s="515"/>
      <c r="M818" s="514"/>
    </row>
    <row r="819" spans="1:13">
      <c r="A819" s="516"/>
      <c r="B819" s="517"/>
      <c r="C819" s="519"/>
      <c r="D819" s="519"/>
      <c r="E819" s="519"/>
      <c r="F819" s="518"/>
      <c r="G819" s="516"/>
      <c r="H819" s="517"/>
      <c r="I819" s="516"/>
      <c r="J819" s="516"/>
      <c r="K819" s="515"/>
      <c r="L819" s="515"/>
      <c r="M819" s="514"/>
    </row>
    <row r="820" spans="1:13">
      <c r="A820" s="516"/>
      <c r="B820" s="517"/>
      <c r="C820" s="519"/>
      <c r="D820" s="519"/>
      <c r="E820" s="519"/>
      <c r="F820" s="518"/>
      <c r="G820" s="516"/>
      <c r="H820" s="517"/>
      <c r="I820" s="516"/>
      <c r="J820" s="516"/>
      <c r="K820" s="515"/>
      <c r="L820" s="515"/>
      <c r="M820" s="514"/>
    </row>
    <row r="821" spans="1:13">
      <c r="A821" s="516"/>
      <c r="B821" s="517"/>
      <c r="C821" s="519"/>
      <c r="D821" s="519"/>
      <c r="E821" s="519"/>
      <c r="F821" s="518"/>
      <c r="G821" s="516"/>
      <c r="H821" s="517"/>
      <c r="I821" s="516"/>
      <c r="J821" s="516"/>
      <c r="K821" s="515"/>
      <c r="L821" s="515"/>
      <c r="M821" s="514"/>
    </row>
    <row r="822" spans="1:13">
      <c r="A822" s="516"/>
      <c r="B822" s="517"/>
      <c r="C822" s="519"/>
      <c r="D822" s="519"/>
      <c r="E822" s="519"/>
      <c r="F822" s="518"/>
      <c r="G822" s="516"/>
      <c r="H822" s="517"/>
      <c r="I822" s="516"/>
      <c r="J822" s="516"/>
      <c r="K822" s="515"/>
      <c r="L822" s="515"/>
      <c r="M822" s="514"/>
    </row>
    <row r="823" spans="1:13">
      <c r="A823" s="516"/>
      <c r="B823" s="517"/>
      <c r="C823" s="519"/>
      <c r="D823" s="519"/>
      <c r="E823" s="519"/>
      <c r="F823" s="518"/>
      <c r="G823" s="516"/>
      <c r="H823" s="517"/>
      <c r="I823" s="516"/>
      <c r="J823" s="516"/>
      <c r="K823" s="515"/>
      <c r="L823" s="515"/>
      <c r="M823" s="514"/>
    </row>
    <row r="824" spans="1:13">
      <c r="A824" s="516"/>
      <c r="B824" s="517"/>
      <c r="C824" s="519"/>
      <c r="D824" s="519"/>
      <c r="E824" s="519"/>
      <c r="F824" s="518"/>
      <c r="G824" s="516"/>
      <c r="H824" s="517"/>
      <c r="I824" s="516"/>
      <c r="J824" s="516"/>
      <c r="K824" s="515"/>
      <c r="L824" s="515"/>
      <c r="M824" s="514"/>
    </row>
    <row r="825" spans="1:13">
      <c r="A825" s="516"/>
      <c r="B825" s="517"/>
      <c r="C825" s="519"/>
      <c r="D825" s="519"/>
      <c r="E825" s="519"/>
      <c r="F825" s="518"/>
      <c r="G825" s="516"/>
      <c r="H825" s="517"/>
      <c r="I825" s="516"/>
      <c r="J825" s="516"/>
      <c r="K825" s="515"/>
      <c r="L825" s="515"/>
      <c r="M825" s="514"/>
    </row>
    <row r="826" spans="1:13">
      <c r="A826" s="516"/>
      <c r="B826" s="517"/>
      <c r="C826" s="519"/>
      <c r="D826" s="519"/>
      <c r="E826" s="519"/>
      <c r="F826" s="518"/>
      <c r="G826" s="516"/>
      <c r="H826" s="517"/>
      <c r="I826" s="516"/>
      <c r="J826" s="516"/>
      <c r="K826" s="515"/>
      <c r="L826" s="515"/>
      <c r="M826" s="514"/>
    </row>
    <row r="827" spans="1:13">
      <c r="A827" s="516"/>
      <c r="B827" s="517"/>
      <c r="C827" s="519"/>
      <c r="D827" s="519"/>
      <c r="E827" s="519"/>
      <c r="F827" s="518"/>
      <c r="G827" s="516"/>
      <c r="H827" s="517"/>
      <c r="I827" s="516"/>
      <c r="J827" s="516"/>
      <c r="K827" s="515"/>
      <c r="L827" s="515"/>
      <c r="M827" s="514"/>
    </row>
    <row r="828" spans="1:13">
      <c r="A828" s="516"/>
      <c r="B828" s="517"/>
      <c r="C828" s="519"/>
      <c r="D828" s="519"/>
      <c r="E828" s="519"/>
      <c r="F828" s="518"/>
      <c r="G828" s="516"/>
      <c r="H828" s="517"/>
      <c r="I828" s="516"/>
      <c r="J828" s="516"/>
      <c r="K828" s="515"/>
      <c r="L828" s="515"/>
      <c r="M828" s="514"/>
    </row>
    <row r="829" spans="1:13">
      <c r="A829" s="516"/>
      <c r="B829" s="517"/>
      <c r="C829" s="519"/>
      <c r="D829" s="519"/>
      <c r="E829" s="519"/>
      <c r="F829" s="518"/>
      <c r="G829" s="516"/>
      <c r="H829" s="517"/>
      <c r="I829" s="516"/>
      <c r="J829" s="516"/>
      <c r="K829" s="515"/>
      <c r="L829" s="515"/>
      <c r="M829" s="514"/>
    </row>
    <row r="830" spans="1:13">
      <c r="A830" s="516"/>
      <c r="B830" s="517"/>
      <c r="C830" s="519"/>
      <c r="D830" s="519"/>
      <c r="E830" s="519"/>
      <c r="F830" s="518"/>
      <c r="G830" s="516"/>
      <c r="H830" s="517"/>
      <c r="I830" s="516"/>
      <c r="J830" s="516"/>
      <c r="K830" s="515"/>
      <c r="L830" s="515"/>
      <c r="M830" s="514"/>
    </row>
    <row r="831" spans="1:13">
      <c r="A831" s="516"/>
      <c r="B831" s="517"/>
      <c r="C831" s="519"/>
      <c r="D831" s="519"/>
      <c r="E831" s="519"/>
      <c r="F831" s="518"/>
      <c r="G831" s="516"/>
      <c r="H831" s="517"/>
      <c r="I831" s="516"/>
      <c r="J831" s="516"/>
      <c r="K831" s="515"/>
      <c r="L831" s="515"/>
      <c r="M831" s="514"/>
    </row>
    <row r="832" spans="1:13">
      <c r="A832" s="516"/>
      <c r="B832" s="517"/>
      <c r="C832" s="519"/>
      <c r="D832" s="519"/>
      <c r="E832" s="519"/>
      <c r="F832" s="518"/>
      <c r="G832" s="516"/>
      <c r="H832" s="517"/>
      <c r="I832" s="516"/>
      <c r="J832" s="516"/>
      <c r="K832" s="515"/>
      <c r="L832" s="515"/>
      <c r="M832" s="514"/>
    </row>
    <row r="833" spans="1:13">
      <c r="A833" s="516"/>
      <c r="B833" s="517"/>
      <c r="C833" s="519"/>
      <c r="D833" s="519"/>
      <c r="E833" s="519"/>
      <c r="F833" s="518"/>
      <c r="G833" s="516"/>
      <c r="H833" s="517"/>
      <c r="I833" s="516"/>
      <c r="J833" s="516"/>
      <c r="K833" s="515"/>
      <c r="L833" s="515"/>
      <c r="M833" s="514"/>
    </row>
    <row r="834" spans="1:13">
      <c r="A834" s="516"/>
      <c r="B834" s="517"/>
      <c r="C834" s="519"/>
      <c r="D834" s="519"/>
      <c r="E834" s="519"/>
      <c r="F834" s="518"/>
      <c r="G834" s="516"/>
      <c r="H834" s="517"/>
      <c r="I834" s="516"/>
      <c r="J834" s="516"/>
      <c r="K834" s="515"/>
      <c r="L834" s="515"/>
      <c r="M834" s="514"/>
    </row>
    <row r="835" spans="1:13">
      <c r="A835" s="516"/>
      <c r="B835" s="517"/>
      <c r="C835" s="519"/>
      <c r="D835" s="519"/>
      <c r="E835" s="519"/>
      <c r="F835" s="518"/>
      <c r="G835" s="516"/>
      <c r="H835" s="517"/>
      <c r="I835" s="516"/>
      <c r="J835" s="516"/>
      <c r="K835" s="515"/>
      <c r="L835" s="515"/>
      <c r="M835" s="514"/>
    </row>
    <row r="836" spans="1:13">
      <c r="A836" s="516"/>
      <c r="B836" s="517"/>
      <c r="C836" s="519"/>
      <c r="D836" s="519"/>
      <c r="E836" s="519"/>
      <c r="F836" s="518"/>
      <c r="G836" s="516"/>
      <c r="H836" s="517"/>
      <c r="I836" s="516"/>
      <c r="J836" s="516"/>
      <c r="K836" s="515"/>
      <c r="L836" s="515"/>
      <c r="M836" s="514"/>
    </row>
    <row r="837" spans="1:13">
      <c r="A837" s="516"/>
      <c r="B837" s="517"/>
      <c r="C837" s="519"/>
      <c r="D837" s="519"/>
      <c r="E837" s="519"/>
      <c r="F837" s="518"/>
      <c r="G837" s="516"/>
      <c r="H837" s="517"/>
      <c r="I837" s="516"/>
      <c r="J837" s="516"/>
      <c r="K837" s="515"/>
      <c r="L837" s="515"/>
      <c r="M837" s="514"/>
    </row>
    <row r="838" spans="1:13">
      <c r="A838" s="516"/>
      <c r="B838" s="517"/>
      <c r="C838" s="519"/>
      <c r="D838" s="519"/>
      <c r="E838" s="519"/>
      <c r="F838" s="518"/>
      <c r="G838" s="516"/>
      <c r="H838" s="517"/>
      <c r="I838" s="516"/>
      <c r="J838" s="516"/>
      <c r="K838" s="515"/>
      <c r="L838" s="515"/>
      <c r="M838" s="514"/>
    </row>
    <row r="839" spans="1:13">
      <c r="A839" s="516"/>
      <c r="B839" s="517"/>
      <c r="C839" s="519"/>
      <c r="D839" s="519"/>
      <c r="E839" s="519"/>
      <c r="F839" s="518"/>
      <c r="G839" s="516"/>
      <c r="H839" s="517"/>
      <c r="I839" s="516"/>
      <c r="J839" s="516"/>
      <c r="K839" s="515"/>
      <c r="L839" s="515"/>
      <c r="M839" s="514"/>
    </row>
    <row r="840" spans="1:13">
      <c r="A840" s="516"/>
      <c r="B840" s="517"/>
      <c r="C840" s="519"/>
      <c r="D840" s="519"/>
      <c r="E840" s="519"/>
      <c r="F840" s="518"/>
      <c r="G840" s="516"/>
      <c r="H840" s="517"/>
      <c r="I840" s="516"/>
      <c r="J840" s="516"/>
      <c r="K840" s="515"/>
      <c r="L840" s="515"/>
      <c r="M840" s="514"/>
    </row>
    <row r="841" spans="1:13">
      <c r="A841" s="516"/>
      <c r="B841" s="517"/>
      <c r="C841" s="519"/>
      <c r="D841" s="519"/>
      <c r="E841" s="519"/>
      <c r="F841" s="518"/>
      <c r="G841" s="516"/>
      <c r="H841" s="517"/>
      <c r="I841" s="516"/>
      <c r="J841" s="516"/>
      <c r="K841" s="515"/>
      <c r="L841" s="515"/>
      <c r="M841" s="514"/>
    </row>
    <row r="842" spans="1:13">
      <c r="A842" s="516"/>
      <c r="B842" s="517"/>
      <c r="C842" s="519"/>
      <c r="D842" s="519"/>
      <c r="E842" s="519"/>
      <c r="F842" s="518"/>
      <c r="G842" s="516"/>
      <c r="H842" s="517"/>
      <c r="I842" s="516"/>
      <c r="J842" s="516"/>
      <c r="K842" s="515"/>
      <c r="L842" s="515"/>
      <c r="M842" s="514"/>
    </row>
    <row r="843" spans="1:13">
      <c r="A843" s="516"/>
      <c r="B843" s="517"/>
      <c r="C843" s="519"/>
      <c r="D843" s="519"/>
      <c r="E843" s="519"/>
      <c r="F843" s="518"/>
      <c r="G843" s="516"/>
      <c r="H843" s="517"/>
      <c r="I843" s="516"/>
      <c r="J843" s="516"/>
      <c r="K843" s="515"/>
      <c r="L843" s="515"/>
      <c r="M843" s="514"/>
    </row>
    <row r="844" spans="1:13">
      <c r="A844" s="516"/>
      <c r="B844" s="517"/>
      <c r="C844" s="519"/>
      <c r="D844" s="519"/>
      <c r="E844" s="519"/>
      <c r="F844" s="518"/>
      <c r="G844" s="516"/>
      <c r="H844" s="517"/>
      <c r="I844" s="516"/>
      <c r="J844" s="516"/>
      <c r="K844" s="515"/>
      <c r="L844" s="515"/>
      <c r="M844" s="514"/>
    </row>
    <row r="845" spans="1:13">
      <c r="A845" s="516"/>
      <c r="B845" s="517"/>
      <c r="C845" s="519"/>
      <c r="D845" s="519"/>
      <c r="E845" s="519"/>
      <c r="F845" s="518"/>
      <c r="G845" s="516"/>
      <c r="H845" s="517"/>
      <c r="I845" s="516"/>
      <c r="J845" s="516"/>
      <c r="K845" s="515"/>
      <c r="L845" s="515"/>
      <c r="M845" s="514"/>
    </row>
    <row r="846" spans="1:13">
      <c r="A846" s="516"/>
      <c r="B846" s="517"/>
      <c r="C846" s="519"/>
      <c r="D846" s="519"/>
      <c r="E846" s="519"/>
      <c r="F846" s="518"/>
      <c r="G846" s="516"/>
      <c r="H846" s="517"/>
      <c r="I846" s="516"/>
      <c r="J846" s="516"/>
      <c r="K846" s="515"/>
      <c r="L846" s="515"/>
      <c r="M846" s="514"/>
    </row>
    <row r="847" spans="1:13">
      <c r="A847" s="516"/>
      <c r="B847" s="517"/>
      <c r="C847" s="519"/>
      <c r="D847" s="519"/>
      <c r="E847" s="519"/>
      <c r="F847" s="518"/>
      <c r="G847" s="516"/>
      <c r="H847" s="517"/>
      <c r="I847" s="516"/>
      <c r="J847" s="516"/>
      <c r="K847" s="515"/>
      <c r="L847" s="515"/>
      <c r="M847" s="514"/>
    </row>
    <row r="848" spans="1:13">
      <c r="A848" s="516"/>
      <c r="B848" s="517"/>
      <c r="C848" s="519"/>
      <c r="D848" s="519"/>
      <c r="E848" s="519"/>
      <c r="F848" s="518"/>
      <c r="G848" s="516"/>
      <c r="H848" s="517"/>
      <c r="I848" s="516"/>
      <c r="J848" s="516"/>
      <c r="K848" s="515"/>
      <c r="L848" s="515"/>
      <c r="M848" s="514"/>
    </row>
    <row r="849" spans="1:13">
      <c r="A849" s="516"/>
      <c r="B849" s="517"/>
      <c r="C849" s="519"/>
      <c r="D849" s="519"/>
      <c r="E849" s="519"/>
      <c r="F849" s="518"/>
      <c r="G849" s="516"/>
      <c r="H849" s="517"/>
      <c r="I849" s="516"/>
      <c r="J849" s="516"/>
      <c r="K849" s="515"/>
      <c r="L849" s="515"/>
      <c r="M849" s="514"/>
    </row>
    <row r="850" spans="1:13">
      <c r="A850" s="516"/>
      <c r="B850" s="517"/>
      <c r="C850" s="519"/>
      <c r="D850" s="519"/>
      <c r="E850" s="519"/>
      <c r="F850" s="518"/>
      <c r="G850" s="516"/>
      <c r="H850" s="517"/>
      <c r="I850" s="516"/>
      <c r="J850" s="516"/>
      <c r="K850" s="515"/>
      <c r="L850" s="515"/>
      <c r="M850" s="514"/>
    </row>
    <row r="851" spans="1:13">
      <c r="A851" s="516"/>
      <c r="B851" s="517"/>
      <c r="C851" s="519"/>
      <c r="D851" s="519"/>
      <c r="E851" s="519"/>
      <c r="F851" s="518"/>
      <c r="G851" s="516"/>
      <c r="H851" s="517"/>
      <c r="I851" s="516"/>
      <c r="J851" s="516"/>
      <c r="K851" s="515"/>
      <c r="L851" s="515"/>
      <c r="M851" s="514"/>
    </row>
    <row r="852" spans="1:13">
      <c r="A852" s="516"/>
      <c r="B852" s="517"/>
      <c r="C852" s="519"/>
      <c r="D852" s="519"/>
      <c r="E852" s="519"/>
      <c r="F852" s="518"/>
      <c r="G852" s="516"/>
      <c r="H852" s="517"/>
      <c r="I852" s="516"/>
      <c r="J852" s="516"/>
      <c r="K852" s="515"/>
      <c r="L852" s="515"/>
      <c r="M852" s="514"/>
    </row>
    <row r="853" spans="1:13">
      <c r="A853" s="516"/>
      <c r="B853" s="517"/>
      <c r="C853" s="519"/>
      <c r="D853" s="519"/>
      <c r="E853" s="519"/>
      <c r="F853" s="518"/>
      <c r="G853" s="516"/>
      <c r="H853" s="517"/>
      <c r="I853" s="516"/>
      <c r="J853" s="516"/>
      <c r="K853" s="515"/>
      <c r="L853" s="515"/>
      <c r="M853" s="514"/>
    </row>
    <row r="854" spans="1:13">
      <c r="A854" s="516"/>
      <c r="B854" s="517"/>
      <c r="C854" s="519"/>
      <c r="D854" s="519"/>
      <c r="E854" s="519"/>
      <c r="F854" s="518"/>
      <c r="G854" s="516"/>
      <c r="H854" s="517"/>
      <c r="I854" s="516"/>
      <c r="J854" s="516"/>
      <c r="K854" s="515"/>
      <c r="L854" s="515"/>
      <c r="M854" s="514"/>
    </row>
    <row r="855" spans="1:13">
      <c r="A855" s="516"/>
      <c r="B855" s="517"/>
      <c r="C855" s="519"/>
      <c r="D855" s="519"/>
      <c r="E855" s="519"/>
      <c r="F855" s="518"/>
      <c r="G855" s="516"/>
      <c r="H855" s="517"/>
      <c r="I855" s="516"/>
      <c r="J855" s="516"/>
      <c r="K855" s="515"/>
      <c r="L855" s="515"/>
      <c r="M855" s="514"/>
    </row>
    <row r="856" spans="1:13">
      <c r="A856" s="516"/>
      <c r="B856" s="517"/>
      <c r="C856" s="519"/>
      <c r="D856" s="519"/>
      <c r="E856" s="519"/>
      <c r="F856" s="518"/>
      <c r="G856" s="516"/>
      <c r="H856" s="517"/>
      <c r="I856" s="516"/>
      <c r="J856" s="516"/>
      <c r="K856" s="515"/>
      <c r="L856" s="515"/>
      <c r="M856" s="514"/>
    </row>
    <row r="857" spans="1:13">
      <c r="A857" s="516"/>
      <c r="B857" s="517"/>
      <c r="C857" s="519"/>
      <c r="D857" s="519"/>
      <c r="E857" s="519"/>
      <c r="F857" s="518"/>
      <c r="G857" s="516"/>
      <c r="H857" s="517"/>
      <c r="I857" s="516"/>
      <c r="J857" s="516"/>
      <c r="K857" s="515"/>
      <c r="L857" s="515"/>
      <c r="M857" s="514"/>
    </row>
    <row r="858" spans="1:13">
      <c r="A858" s="516"/>
      <c r="B858" s="517"/>
      <c r="C858" s="519"/>
      <c r="D858" s="519"/>
      <c r="E858" s="519"/>
      <c r="F858" s="518"/>
      <c r="G858" s="516"/>
      <c r="H858" s="517"/>
      <c r="I858" s="516"/>
      <c r="J858" s="516"/>
      <c r="K858" s="515"/>
      <c r="L858" s="515"/>
      <c r="M858" s="514"/>
    </row>
    <row r="859" spans="1:13">
      <c r="A859" s="516"/>
      <c r="B859" s="517"/>
      <c r="C859" s="519"/>
      <c r="D859" s="519"/>
      <c r="E859" s="519"/>
      <c r="F859" s="518"/>
      <c r="G859" s="516"/>
      <c r="H859" s="517"/>
      <c r="I859" s="516"/>
      <c r="J859" s="516"/>
      <c r="K859" s="515"/>
      <c r="L859" s="515"/>
      <c r="M859" s="514"/>
    </row>
    <row r="860" spans="1:13">
      <c r="A860" s="516"/>
      <c r="B860" s="517"/>
      <c r="C860" s="519"/>
      <c r="D860" s="519"/>
      <c r="E860" s="519"/>
      <c r="F860" s="518"/>
      <c r="G860" s="516"/>
      <c r="H860" s="517"/>
      <c r="I860" s="516"/>
      <c r="J860" s="516"/>
      <c r="K860" s="515"/>
      <c r="L860" s="515"/>
      <c r="M860" s="514"/>
    </row>
    <row r="861" spans="1:13">
      <c r="A861" s="516"/>
      <c r="B861" s="517"/>
      <c r="C861" s="519"/>
      <c r="D861" s="519"/>
      <c r="E861" s="519"/>
      <c r="F861" s="518"/>
      <c r="G861" s="516"/>
      <c r="H861" s="517"/>
      <c r="I861" s="516"/>
      <c r="J861" s="516"/>
      <c r="K861" s="515"/>
      <c r="L861" s="515"/>
      <c r="M861" s="514"/>
    </row>
    <row r="862" spans="1:13">
      <c r="A862" s="516"/>
      <c r="B862" s="517"/>
      <c r="C862" s="519"/>
      <c r="D862" s="519"/>
      <c r="E862" s="519"/>
      <c r="F862" s="518"/>
      <c r="G862" s="516"/>
      <c r="H862" s="517"/>
      <c r="I862" s="516"/>
      <c r="J862" s="516"/>
      <c r="K862" s="515"/>
      <c r="L862" s="515"/>
      <c r="M862" s="514"/>
    </row>
    <row r="863" spans="1:13">
      <c r="A863" s="516"/>
      <c r="B863" s="517"/>
      <c r="C863" s="519"/>
      <c r="D863" s="519"/>
      <c r="E863" s="519"/>
      <c r="F863" s="518"/>
      <c r="G863" s="516"/>
      <c r="H863" s="517"/>
      <c r="I863" s="516"/>
      <c r="J863" s="516"/>
      <c r="K863" s="515"/>
      <c r="L863" s="515"/>
      <c r="M863" s="514"/>
    </row>
    <row r="864" spans="1:13">
      <c r="A864" s="516"/>
      <c r="B864" s="517"/>
      <c r="C864" s="519"/>
      <c r="D864" s="519"/>
      <c r="E864" s="519"/>
      <c r="F864" s="518"/>
      <c r="G864" s="516"/>
      <c r="H864" s="517"/>
      <c r="I864" s="516"/>
      <c r="J864" s="516"/>
      <c r="K864" s="515"/>
      <c r="L864" s="515"/>
      <c r="M864" s="514"/>
    </row>
    <row r="865" spans="1:13">
      <c r="A865" s="516"/>
      <c r="B865" s="517"/>
      <c r="C865" s="519"/>
      <c r="D865" s="519"/>
      <c r="E865" s="519"/>
      <c r="F865" s="518"/>
      <c r="G865" s="516"/>
      <c r="H865" s="517"/>
      <c r="I865" s="516"/>
      <c r="J865" s="516"/>
      <c r="K865" s="515"/>
      <c r="L865" s="515"/>
      <c r="M865" s="514"/>
    </row>
    <row r="866" spans="1:13">
      <c r="A866" s="516"/>
      <c r="B866" s="517"/>
      <c r="C866" s="519"/>
      <c r="D866" s="519"/>
      <c r="E866" s="519"/>
      <c r="F866" s="518"/>
      <c r="G866" s="516"/>
      <c r="H866" s="517"/>
      <c r="I866" s="516"/>
      <c r="J866" s="516"/>
      <c r="K866" s="515"/>
      <c r="L866" s="515"/>
      <c r="M866" s="514"/>
    </row>
    <row r="867" spans="1:13">
      <c r="A867" s="516"/>
      <c r="B867" s="517"/>
      <c r="C867" s="519"/>
      <c r="D867" s="519"/>
      <c r="E867" s="519"/>
      <c r="F867" s="518"/>
      <c r="G867" s="516"/>
      <c r="H867" s="517"/>
      <c r="I867" s="516"/>
      <c r="J867" s="516"/>
      <c r="K867" s="515"/>
      <c r="L867" s="515"/>
      <c r="M867" s="514"/>
    </row>
    <row r="868" spans="1:13">
      <c r="A868" s="516"/>
      <c r="B868" s="517"/>
      <c r="C868" s="519"/>
      <c r="D868" s="519"/>
      <c r="E868" s="519"/>
      <c r="F868" s="518"/>
      <c r="G868" s="516"/>
      <c r="H868" s="517"/>
      <c r="I868" s="516"/>
      <c r="J868" s="516"/>
      <c r="K868" s="515"/>
      <c r="L868" s="515"/>
      <c r="M868" s="514"/>
    </row>
    <row r="869" spans="1:13">
      <c r="A869" s="516"/>
      <c r="B869" s="517"/>
      <c r="C869" s="519"/>
      <c r="D869" s="519"/>
      <c r="E869" s="519"/>
      <c r="F869" s="518"/>
      <c r="G869" s="516"/>
      <c r="H869" s="517"/>
      <c r="I869" s="516"/>
      <c r="J869" s="516"/>
      <c r="K869" s="515"/>
      <c r="L869" s="515"/>
      <c r="M869" s="514"/>
    </row>
    <row r="870" spans="1:13">
      <c r="A870" s="516"/>
      <c r="B870" s="517"/>
      <c r="C870" s="519"/>
      <c r="D870" s="519"/>
      <c r="E870" s="519"/>
      <c r="F870" s="518"/>
      <c r="G870" s="516"/>
      <c r="H870" s="517"/>
      <c r="I870" s="516"/>
      <c r="J870" s="516"/>
      <c r="K870" s="515"/>
      <c r="L870" s="515"/>
      <c r="M870" s="514"/>
    </row>
    <row r="871" spans="1:13">
      <c r="A871" s="516"/>
      <c r="B871" s="517"/>
      <c r="C871" s="519"/>
      <c r="D871" s="519"/>
      <c r="E871" s="519"/>
      <c r="F871" s="518"/>
      <c r="G871" s="516"/>
      <c r="H871" s="517"/>
      <c r="I871" s="516"/>
      <c r="J871" s="516"/>
      <c r="K871" s="515"/>
      <c r="L871" s="515"/>
      <c r="M871" s="514"/>
    </row>
    <row r="872" spans="1:13">
      <c r="A872" s="516"/>
      <c r="B872" s="517"/>
      <c r="C872" s="519"/>
      <c r="D872" s="519"/>
      <c r="E872" s="519"/>
      <c r="F872" s="518"/>
      <c r="G872" s="516"/>
      <c r="H872" s="517"/>
      <c r="I872" s="516"/>
      <c r="J872" s="516"/>
      <c r="K872" s="515"/>
      <c r="L872" s="515"/>
      <c r="M872" s="514"/>
    </row>
    <row r="873" spans="1:13">
      <c r="A873" s="516"/>
      <c r="B873" s="517"/>
      <c r="C873" s="519"/>
      <c r="D873" s="519"/>
      <c r="E873" s="519"/>
      <c r="F873" s="518"/>
      <c r="G873" s="516"/>
      <c r="H873" s="517"/>
      <c r="I873" s="516"/>
      <c r="J873" s="516"/>
      <c r="K873" s="515"/>
      <c r="L873" s="515"/>
      <c r="M873" s="514"/>
    </row>
    <row r="874" spans="1:13">
      <c r="A874" s="516"/>
      <c r="B874" s="517"/>
      <c r="C874" s="519"/>
      <c r="D874" s="519"/>
      <c r="E874" s="519"/>
      <c r="F874" s="518"/>
      <c r="G874" s="516"/>
      <c r="H874" s="517"/>
      <c r="I874" s="516"/>
      <c r="J874" s="516"/>
      <c r="K874" s="515"/>
      <c r="L874" s="515"/>
      <c r="M874" s="514"/>
    </row>
    <row r="875" spans="1:13">
      <c r="A875" s="516"/>
      <c r="B875" s="517"/>
      <c r="C875" s="519"/>
      <c r="D875" s="519"/>
      <c r="E875" s="519"/>
      <c r="F875" s="518"/>
      <c r="G875" s="516"/>
      <c r="H875" s="517"/>
      <c r="I875" s="516"/>
      <c r="J875" s="516"/>
      <c r="K875" s="515"/>
      <c r="L875" s="515"/>
      <c r="M875" s="514"/>
    </row>
    <row r="876" spans="1:13">
      <c r="A876" s="516"/>
      <c r="B876" s="517"/>
      <c r="C876" s="519"/>
      <c r="D876" s="519"/>
      <c r="E876" s="519"/>
      <c r="F876" s="518"/>
      <c r="G876" s="516"/>
      <c r="H876" s="517"/>
      <c r="I876" s="516"/>
      <c r="J876" s="516"/>
      <c r="K876" s="515"/>
      <c r="L876" s="515"/>
      <c r="M876" s="514"/>
    </row>
    <row r="877" spans="1:13">
      <c r="A877" s="516"/>
      <c r="B877" s="517"/>
      <c r="C877" s="519"/>
      <c r="D877" s="519"/>
      <c r="E877" s="519"/>
      <c r="F877" s="518"/>
      <c r="G877" s="516"/>
      <c r="H877" s="517"/>
      <c r="I877" s="516"/>
      <c r="J877" s="516"/>
      <c r="K877" s="515"/>
      <c r="L877" s="515"/>
      <c r="M877" s="514"/>
    </row>
    <row r="878" spans="1:13">
      <c r="A878" s="516"/>
      <c r="B878" s="517"/>
      <c r="C878" s="519"/>
      <c r="D878" s="519"/>
      <c r="E878" s="519"/>
      <c r="F878" s="518"/>
      <c r="G878" s="516"/>
      <c r="H878" s="517"/>
      <c r="I878" s="516"/>
      <c r="J878" s="516"/>
      <c r="K878" s="515"/>
      <c r="L878" s="515"/>
      <c r="M878" s="514"/>
    </row>
    <row r="879" spans="1:13">
      <c r="A879" s="516"/>
      <c r="B879" s="517"/>
      <c r="C879" s="519"/>
      <c r="D879" s="519"/>
      <c r="E879" s="519"/>
      <c r="F879" s="518"/>
      <c r="G879" s="516"/>
      <c r="H879" s="517"/>
      <c r="I879" s="516"/>
      <c r="J879" s="516"/>
      <c r="K879" s="515"/>
      <c r="L879" s="515"/>
      <c r="M879" s="514"/>
    </row>
    <row r="880" spans="1:13">
      <c r="A880" s="516"/>
      <c r="B880" s="517"/>
      <c r="C880" s="519"/>
      <c r="D880" s="519"/>
      <c r="E880" s="519"/>
      <c r="F880" s="518"/>
      <c r="G880" s="516"/>
      <c r="H880" s="517"/>
      <c r="I880" s="516"/>
      <c r="J880" s="516"/>
      <c r="K880" s="515"/>
      <c r="L880" s="515"/>
      <c r="M880" s="514"/>
    </row>
    <row r="881" spans="1:13">
      <c r="A881" s="516"/>
      <c r="B881" s="517"/>
      <c r="C881" s="519"/>
      <c r="D881" s="519"/>
      <c r="E881" s="519"/>
      <c r="F881" s="518"/>
      <c r="G881" s="516"/>
      <c r="H881" s="517"/>
      <c r="I881" s="516"/>
      <c r="J881" s="516"/>
      <c r="K881" s="515"/>
      <c r="L881" s="515"/>
      <c r="M881" s="514"/>
    </row>
    <row r="882" spans="1:13">
      <c r="A882" s="516"/>
      <c r="B882" s="517"/>
      <c r="C882" s="519"/>
      <c r="D882" s="519"/>
      <c r="E882" s="519"/>
      <c r="F882" s="518"/>
      <c r="G882" s="516"/>
      <c r="H882" s="517"/>
      <c r="I882" s="516"/>
      <c r="J882" s="516"/>
      <c r="K882" s="515"/>
      <c r="L882" s="515"/>
      <c r="M882" s="514"/>
    </row>
    <row r="883" spans="1:13">
      <c r="A883" s="516"/>
      <c r="B883" s="517"/>
      <c r="C883" s="519"/>
      <c r="D883" s="519"/>
      <c r="E883" s="519"/>
      <c r="F883" s="518"/>
      <c r="G883" s="516"/>
      <c r="H883" s="517"/>
      <c r="I883" s="516"/>
      <c r="J883" s="516"/>
      <c r="K883" s="515"/>
      <c r="L883" s="515"/>
      <c r="M883" s="514"/>
    </row>
    <row r="884" spans="1:13">
      <c r="A884" s="516"/>
      <c r="B884" s="517"/>
      <c r="C884" s="519"/>
      <c r="D884" s="519"/>
      <c r="E884" s="519"/>
      <c r="F884" s="518"/>
      <c r="G884" s="516"/>
      <c r="H884" s="517"/>
      <c r="I884" s="516"/>
      <c r="J884" s="516"/>
      <c r="K884" s="515"/>
      <c r="L884" s="515"/>
      <c r="M884" s="514"/>
    </row>
    <row r="885" spans="1:13">
      <c r="A885" s="516"/>
      <c r="B885" s="517"/>
      <c r="C885" s="519"/>
      <c r="D885" s="519"/>
      <c r="E885" s="519"/>
      <c r="F885" s="518"/>
      <c r="G885" s="516"/>
      <c r="H885" s="517"/>
      <c r="I885" s="516"/>
      <c r="J885" s="516"/>
      <c r="K885" s="515"/>
      <c r="L885" s="515"/>
      <c r="M885" s="514"/>
    </row>
    <row r="886" spans="1:13">
      <c r="A886" s="516"/>
      <c r="B886" s="517"/>
      <c r="C886" s="519"/>
      <c r="D886" s="519"/>
      <c r="E886" s="519"/>
      <c r="F886" s="518"/>
      <c r="G886" s="516"/>
      <c r="H886" s="517"/>
      <c r="I886" s="516"/>
      <c r="J886" s="516"/>
      <c r="K886" s="515"/>
      <c r="L886" s="515"/>
      <c r="M886" s="514"/>
    </row>
    <row r="887" spans="1:13">
      <c r="A887" s="516"/>
      <c r="B887" s="517"/>
      <c r="C887" s="519"/>
      <c r="D887" s="519"/>
      <c r="E887" s="519"/>
      <c r="F887" s="518"/>
      <c r="G887" s="516"/>
      <c r="H887" s="517"/>
      <c r="I887" s="516"/>
      <c r="J887" s="516"/>
      <c r="K887" s="515"/>
      <c r="L887" s="515"/>
      <c r="M887" s="514"/>
    </row>
    <row r="888" spans="1:13">
      <c r="A888" s="516"/>
      <c r="B888" s="517"/>
      <c r="C888" s="519"/>
      <c r="D888" s="519"/>
      <c r="E888" s="519"/>
      <c r="F888" s="518"/>
      <c r="G888" s="516"/>
      <c r="H888" s="517"/>
      <c r="I888" s="516"/>
      <c r="J888" s="516"/>
      <c r="K888" s="515"/>
      <c r="L888" s="515"/>
      <c r="M888" s="514"/>
    </row>
    <row r="889" spans="1:13">
      <c r="A889" s="516"/>
      <c r="B889" s="517"/>
      <c r="C889" s="519"/>
      <c r="D889" s="519"/>
      <c r="E889" s="519"/>
      <c r="F889" s="518"/>
      <c r="G889" s="516"/>
      <c r="H889" s="517"/>
      <c r="I889" s="516"/>
      <c r="J889" s="516"/>
      <c r="K889" s="515"/>
      <c r="L889" s="515"/>
      <c r="M889" s="514"/>
    </row>
    <row r="890" spans="1:13">
      <c r="A890" s="516"/>
      <c r="B890" s="517"/>
      <c r="C890" s="519"/>
      <c r="D890" s="519"/>
      <c r="E890" s="519"/>
      <c r="F890" s="518"/>
      <c r="G890" s="516"/>
      <c r="H890" s="517"/>
      <c r="I890" s="516"/>
      <c r="J890" s="516"/>
      <c r="K890" s="515"/>
      <c r="L890" s="515"/>
      <c r="M890" s="514"/>
    </row>
    <row r="891" spans="1:13">
      <c r="A891" s="516"/>
      <c r="B891" s="517"/>
      <c r="C891" s="519"/>
      <c r="D891" s="519"/>
      <c r="E891" s="519"/>
      <c r="F891" s="518"/>
      <c r="G891" s="516"/>
      <c r="H891" s="517"/>
      <c r="I891" s="516"/>
      <c r="J891" s="516"/>
      <c r="K891" s="515"/>
      <c r="L891" s="515"/>
      <c r="M891" s="514"/>
    </row>
    <row r="892" spans="1:13">
      <c r="A892" s="516"/>
      <c r="B892" s="517"/>
      <c r="C892" s="519"/>
      <c r="D892" s="519"/>
      <c r="E892" s="519"/>
      <c r="F892" s="518"/>
      <c r="G892" s="516"/>
      <c r="H892" s="517"/>
      <c r="I892" s="516"/>
      <c r="J892" s="516"/>
      <c r="K892" s="515"/>
      <c r="L892" s="515"/>
      <c r="M892" s="514"/>
    </row>
    <row r="893" spans="1:13">
      <c r="A893" s="516"/>
      <c r="B893" s="517"/>
      <c r="C893" s="519"/>
      <c r="D893" s="519"/>
      <c r="E893" s="519"/>
      <c r="F893" s="518"/>
      <c r="G893" s="516"/>
      <c r="H893" s="517"/>
      <c r="I893" s="516"/>
      <c r="J893" s="516"/>
      <c r="K893" s="515"/>
      <c r="L893" s="515"/>
      <c r="M893" s="514"/>
    </row>
    <row r="894" spans="1:13">
      <c r="A894" s="516"/>
      <c r="B894" s="517"/>
      <c r="C894" s="519"/>
      <c r="D894" s="519"/>
      <c r="E894" s="519"/>
      <c r="F894" s="518"/>
      <c r="G894" s="516"/>
      <c r="H894" s="517"/>
      <c r="I894" s="516"/>
      <c r="J894" s="516"/>
      <c r="K894" s="515"/>
      <c r="L894" s="515"/>
      <c r="M894" s="514"/>
    </row>
    <row r="895" spans="1:13">
      <c r="A895" s="516"/>
      <c r="B895" s="517"/>
      <c r="C895" s="519"/>
      <c r="D895" s="519"/>
      <c r="E895" s="519"/>
      <c r="F895" s="518"/>
      <c r="G895" s="516"/>
      <c r="H895" s="517"/>
      <c r="I895" s="516"/>
      <c r="J895" s="516"/>
      <c r="K895" s="515"/>
      <c r="L895" s="515"/>
      <c r="M895" s="514"/>
    </row>
    <row r="896" spans="1:13">
      <c r="A896" s="516"/>
      <c r="B896" s="517"/>
      <c r="C896" s="519"/>
      <c r="D896" s="519"/>
      <c r="E896" s="519"/>
      <c r="F896" s="518"/>
      <c r="G896" s="516"/>
      <c r="H896" s="517"/>
      <c r="I896" s="516"/>
      <c r="J896" s="516"/>
      <c r="K896" s="515"/>
      <c r="L896" s="515"/>
      <c r="M896" s="514"/>
    </row>
    <row r="897" spans="1:13">
      <c r="A897" s="516"/>
      <c r="B897" s="517"/>
      <c r="C897" s="519"/>
      <c r="D897" s="519"/>
      <c r="E897" s="519"/>
      <c r="F897" s="518"/>
      <c r="G897" s="516"/>
      <c r="H897" s="517"/>
      <c r="I897" s="516"/>
      <c r="J897" s="516"/>
      <c r="K897" s="515"/>
      <c r="L897" s="515"/>
      <c r="M897" s="514"/>
    </row>
    <row r="898" spans="1:13">
      <c r="A898" s="516"/>
      <c r="B898" s="517"/>
      <c r="C898" s="519"/>
      <c r="D898" s="519"/>
      <c r="E898" s="519"/>
      <c r="F898" s="518"/>
      <c r="G898" s="516"/>
      <c r="H898" s="517"/>
      <c r="I898" s="516"/>
      <c r="J898" s="516"/>
      <c r="K898" s="515"/>
      <c r="L898" s="515"/>
      <c r="M898" s="514"/>
    </row>
    <row r="899" spans="1:13">
      <c r="A899" s="516"/>
      <c r="B899" s="517"/>
      <c r="C899" s="519"/>
      <c r="D899" s="519"/>
      <c r="E899" s="519"/>
      <c r="F899" s="518"/>
      <c r="G899" s="516"/>
      <c r="H899" s="517"/>
      <c r="I899" s="516"/>
      <c r="J899" s="516"/>
      <c r="K899" s="515"/>
      <c r="L899" s="515"/>
      <c r="M899" s="514"/>
    </row>
    <row r="900" spans="1:13">
      <c r="A900" s="516"/>
      <c r="B900" s="517"/>
      <c r="C900" s="519"/>
      <c r="D900" s="519"/>
      <c r="E900" s="519"/>
      <c r="F900" s="518"/>
      <c r="G900" s="516"/>
      <c r="H900" s="517"/>
      <c r="I900" s="516"/>
      <c r="J900" s="516"/>
      <c r="K900" s="515"/>
      <c r="L900" s="515"/>
      <c r="M900" s="514"/>
    </row>
    <row r="901" spans="1:13">
      <c r="A901" s="516"/>
      <c r="B901" s="517"/>
      <c r="C901" s="519"/>
      <c r="D901" s="519"/>
      <c r="E901" s="519"/>
      <c r="F901" s="518"/>
      <c r="G901" s="516"/>
      <c r="H901" s="517"/>
      <c r="I901" s="516"/>
      <c r="J901" s="516"/>
      <c r="K901" s="515"/>
      <c r="L901" s="515"/>
      <c r="M901" s="514"/>
    </row>
    <row r="902" spans="1:13">
      <c r="A902" s="516"/>
      <c r="B902" s="517"/>
      <c r="C902" s="519"/>
      <c r="D902" s="519"/>
      <c r="E902" s="519"/>
      <c r="F902" s="518"/>
      <c r="G902" s="516"/>
      <c r="H902" s="517"/>
      <c r="I902" s="516"/>
      <c r="J902" s="516"/>
      <c r="K902" s="515"/>
      <c r="L902" s="515"/>
      <c r="M902" s="514"/>
    </row>
    <row r="903" spans="1:13">
      <c r="A903" s="516"/>
      <c r="B903" s="517"/>
      <c r="C903" s="519"/>
      <c r="D903" s="519"/>
      <c r="E903" s="519"/>
      <c r="F903" s="518"/>
      <c r="G903" s="516"/>
      <c r="H903" s="517"/>
      <c r="I903" s="516"/>
      <c r="J903" s="516"/>
      <c r="K903" s="515"/>
      <c r="L903" s="515"/>
      <c r="M903" s="514"/>
    </row>
    <row r="904" spans="1:13">
      <c r="A904" s="516"/>
      <c r="B904" s="517"/>
      <c r="C904" s="519"/>
      <c r="D904" s="519"/>
      <c r="E904" s="519"/>
      <c r="F904" s="518"/>
      <c r="G904" s="516"/>
      <c r="H904" s="517"/>
      <c r="I904" s="516"/>
      <c r="J904" s="516"/>
      <c r="K904" s="515"/>
      <c r="L904" s="515"/>
      <c r="M904" s="514"/>
    </row>
    <row r="905" spans="1:13">
      <c r="A905" s="516"/>
      <c r="B905" s="517"/>
      <c r="C905" s="519"/>
      <c r="D905" s="519"/>
      <c r="E905" s="519"/>
      <c r="F905" s="518"/>
      <c r="G905" s="516"/>
      <c r="H905" s="517"/>
      <c r="I905" s="516"/>
      <c r="J905" s="516"/>
      <c r="K905" s="515"/>
      <c r="L905" s="515"/>
      <c r="M905" s="514"/>
    </row>
    <row r="906" spans="1:13">
      <c r="A906" s="516"/>
      <c r="B906" s="517"/>
      <c r="C906" s="519"/>
      <c r="D906" s="519"/>
      <c r="E906" s="519"/>
      <c r="F906" s="518"/>
      <c r="G906" s="516"/>
      <c r="H906" s="517"/>
      <c r="I906" s="516"/>
      <c r="J906" s="516"/>
      <c r="K906" s="515"/>
      <c r="L906" s="515"/>
      <c r="M906" s="514"/>
    </row>
    <row r="907" spans="1:13">
      <c r="A907" s="516"/>
      <c r="B907" s="517"/>
      <c r="C907" s="519"/>
      <c r="D907" s="519"/>
      <c r="E907" s="519"/>
      <c r="F907" s="518"/>
      <c r="G907" s="516"/>
      <c r="H907" s="517"/>
      <c r="I907" s="516"/>
      <c r="J907" s="516"/>
      <c r="K907" s="515"/>
      <c r="L907" s="515"/>
      <c r="M907" s="514"/>
    </row>
    <row r="908" spans="1:13">
      <c r="A908" s="516"/>
      <c r="B908" s="517"/>
      <c r="C908" s="519"/>
      <c r="D908" s="519"/>
      <c r="E908" s="519"/>
      <c r="F908" s="518"/>
      <c r="G908" s="516"/>
      <c r="H908" s="517"/>
      <c r="I908" s="516"/>
      <c r="J908" s="516"/>
      <c r="K908" s="515"/>
      <c r="L908" s="515"/>
      <c r="M908" s="514"/>
    </row>
    <row r="909" spans="1:13">
      <c r="A909" s="516"/>
      <c r="B909" s="517"/>
      <c r="C909" s="519"/>
      <c r="D909" s="519"/>
      <c r="E909" s="519"/>
      <c r="F909" s="518"/>
      <c r="G909" s="516"/>
      <c r="H909" s="517"/>
      <c r="I909" s="516"/>
      <c r="J909" s="516"/>
      <c r="K909" s="515"/>
      <c r="L909" s="515"/>
      <c r="M909" s="514"/>
    </row>
    <row r="910" spans="1:13">
      <c r="A910" s="516"/>
      <c r="B910" s="517"/>
      <c r="C910" s="519"/>
      <c r="D910" s="519"/>
      <c r="E910" s="519"/>
      <c r="F910" s="518"/>
      <c r="G910" s="516"/>
      <c r="H910" s="517"/>
      <c r="I910" s="516"/>
      <c r="J910" s="516"/>
      <c r="K910" s="515"/>
      <c r="L910" s="515"/>
      <c r="M910" s="514"/>
    </row>
    <row r="911" spans="1:13">
      <c r="A911" s="516"/>
      <c r="B911" s="517"/>
      <c r="C911" s="519"/>
      <c r="D911" s="519"/>
      <c r="E911" s="519"/>
      <c r="F911" s="518"/>
      <c r="G911" s="516"/>
      <c r="H911" s="517"/>
      <c r="I911" s="516"/>
      <c r="J911" s="516"/>
      <c r="K911" s="515"/>
      <c r="L911" s="515"/>
      <c r="M911" s="514"/>
    </row>
    <row r="912" spans="1:13">
      <c r="A912" s="516"/>
      <c r="B912" s="517"/>
      <c r="C912" s="519"/>
      <c r="D912" s="519"/>
      <c r="E912" s="519"/>
      <c r="F912" s="518"/>
      <c r="G912" s="516"/>
      <c r="H912" s="517"/>
      <c r="I912" s="516"/>
      <c r="J912" s="516"/>
      <c r="K912" s="515"/>
      <c r="L912" s="515"/>
      <c r="M912" s="514"/>
    </row>
    <row r="913" spans="1:13">
      <c r="A913" s="516"/>
      <c r="B913" s="517"/>
      <c r="C913" s="519"/>
      <c r="D913" s="519"/>
      <c r="E913" s="519"/>
      <c r="F913" s="518"/>
      <c r="G913" s="516"/>
      <c r="H913" s="517"/>
      <c r="I913" s="516"/>
      <c r="J913" s="516"/>
      <c r="K913" s="515"/>
      <c r="L913" s="515"/>
      <c r="M913" s="514"/>
    </row>
    <row r="914" spans="1:13">
      <c r="A914" s="516"/>
      <c r="B914" s="517"/>
      <c r="C914" s="519"/>
      <c r="D914" s="519"/>
      <c r="E914" s="519"/>
      <c r="F914" s="518"/>
      <c r="G914" s="516"/>
      <c r="H914" s="517"/>
      <c r="I914" s="516"/>
      <c r="J914" s="516"/>
      <c r="K914" s="515"/>
      <c r="L914" s="515"/>
      <c r="M914" s="514"/>
    </row>
    <row r="915" spans="1:13">
      <c r="A915" s="516"/>
      <c r="B915" s="517"/>
      <c r="C915" s="519"/>
      <c r="D915" s="519"/>
      <c r="E915" s="519"/>
      <c r="F915" s="518"/>
      <c r="G915" s="516"/>
      <c r="H915" s="517"/>
      <c r="I915" s="516"/>
      <c r="J915" s="516"/>
      <c r="K915" s="515"/>
      <c r="L915" s="515"/>
      <c r="M915" s="514"/>
    </row>
    <row r="916" spans="1:13">
      <c r="A916" s="516"/>
      <c r="B916" s="517"/>
      <c r="C916" s="519"/>
      <c r="D916" s="519"/>
      <c r="E916" s="519"/>
      <c r="F916" s="518"/>
      <c r="G916" s="516"/>
      <c r="H916" s="517"/>
      <c r="I916" s="516"/>
      <c r="J916" s="516"/>
      <c r="K916" s="515"/>
      <c r="L916" s="515"/>
      <c r="M916" s="514"/>
    </row>
    <row r="917" spans="1:13">
      <c r="A917" s="516"/>
      <c r="B917" s="517"/>
      <c r="C917" s="519"/>
      <c r="D917" s="519"/>
      <c r="E917" s="519"/>
      <c r="F917" s="518"/>
      <c r="G917" s="516"/>
      <c r="H917" s="517"/>
      <c r="I917" s="516"/>
      <c r="J917" s="516"/>
      <c r="K917" s="515"/>
      <c r="L917" s="515"/>
      <c r="M917" s="514"/>
    </row>
    <row r="918" spans="1:13">
      <c r="A918" s="516"/>
      <c r="B918" s="517"/>
      <c r="C918" s="519"/>
      <c r="D918" s="519"/>
      <c r="E918" s="519"/>
      <c r="F918" s="518"/>
      <c r="G918" s="516"/>
      <c r="H918" s="517"/>
      <c r="I918" s="516"/>
      <c r="J918" s="516"/>
      <c r="K918" s="515"/>
      <c r="L918" s="515"/>
      <c r="M918" s="514"/>
    </row>
    <row r="919" spans="1:13">
      <c r="A919" s="516"/>
      <c r="B919" s="517"/>
      <c r="C919" s="519"/>
      <c r="D919" s="519"/>
      <c r="E919" s="519"/>
      <c r="F919" s="518"/>
      <c r="G919" s="516"/>
      <c r="H919" s="517"/>
      <c r="I919" s="516"/>
      <c r="J919" s="516"/>
      <c r="K919" s="515"/>
      <c r="L919" s="515"/>
      <c r="M919" s="514"/>
    </row>
    <row r="920" spans="1:13">
      <c r="A920" s="516"/>
      <c r="B920" s="517"/>
      <c r="C920" s="519"/>
      <c r="D920" s="519"/>
      <c r="E920" s="519"/>
      <c r="F920" s="518"/>
      <c r="G920" s="516"/>
      <c r="H920" s="517"/>
      <c r="I920" s="516"/>
      <c r="J920" s="516"/>
      <c r="K920" s="515"/>
      <c r="L920" s="515"/>
      <c r="M920" s="514"/>
    </row>
    <row r="921" spans="1:13">
      <c r="A921" s="516"/>
      <c r="B921" s="517"/>
      <c r="C921" s="519"/>
      <c r="D921" s="519"/>
      <c r="E921" s="519"/>
      <c r="F921" s="518"/>
      <c r="G921" s="516"/>
      <c r="H921" s="517"/>
      <c r="I921" s="516"/>
      <c r="J921" s="516"/>
      <c r="K921" s="515"/>
      <c r="L921" s="515"/>
      <c r="M921" s="514"/>
    </row>
    <row r="922" spans="1:13">
      <c r="A922" s="516"/>
      <c r="B922" s="517"/>
      <c r="C922" s="519"/>
      <c r="D922" s="519"/>
      <c r="E922" s="519"/>
      <c r="F922" s="518"/>
      <c r="G922" s="516"/>
      <c r="H922" s="517"/>
      <c r="I922" s="516"/>
      <c r="J922" s="516"/>
      <c r="K922" s="515"/>
      <c r="L922" s="515"/>
      <c r="M922" s="514"/>
    </row>
    <row r="923" spans="1:13">
      <c r="A923" s="516"/>
      <c r="B923" s="517"/>
      <c r="C923" s="519"/>
      <c r="D923" s="519"/>
      <c r="E923" s="519"/>
      <c r="F923" s="518"/>
      <c r="G923" s="516"/>
      <c r="H923" s="517"/>
      <c r="I923" s="516"/>
      <c r="J923" s="516"/>
      <c r="K923" s="515"/>
      <c r="L923" s="515"/>
      <c r="M923" s="514"/>
    </row>
    <row r="924" spans="1:13">
      <c r="A924" s="516"/>
      <c r="B924" s="517"/>
      <c r="C924" s="519"/>
      <c r="D924" s="519"/>
      <c r="E924" s="519"/>
      <c r="F924" s="518"/>
      <c r="G924" s="516"/>
      <c r="H924" s="517"/>
      <c r="I924" s="516"/>
      <c r="J924" s="516"/>
      <c r="K924" s="515"/>
      <c r="L924" s="515"/>
      <c r="M924" s="514"/>
    </row>
    <row r="925" spans="1:13">
      <c r="A925" s="516"/>
      <c r="B925" s="517"/>
      <c r="C925" s="519"/>
      <c r="D925" s="519"/>
      <c r="E925" s="519"/>
      <c r="F925" s="518"/>
      <c r="G925" s="516"/>
      <c r="H925" s="517"/>
      <c r="I925" s="516"/>
      <c r="J925" s="516"/>
      <c r="K925" s="515"/>
      <c r="L925" s="515"/>
      <c r="M925" s="514"/>
    </row>
    <row r="926" spans="1:13">
      <c r="A926" s="516"/>
      <c r="B926" s="517"/>
      <c r="C926" s="519"/>
      <c r="D926" s="519"/>
      <c r="E926" s="519"/>
      <c r="F926" s="518"/>
      <c r="G926" s="516"/>
      <c r="H926" s="517"/>
      <c r="I926" s="516"/>
      <c r="J926" s="516"/>
      <c r="K926" s="515"/>
      <c r="L926" s="515"/>
      <c r="M926" s="514"/>
    </row>
    <row r="927" spans="1:13">
      <c r="A927" s="516"/>
      <c r="B927" s="517"/>
      <c r="C927" s="519"/>
      <c r="D927" s="519"/>
      <c r="E927" s="519"/>
      <c r="F927" s="518"/>
      <c r="G927" s="516"/>
      <c r="H927" s="517"/>
      <c r="I927" s="516"/>
      <c r="J927" s="516"/>
      <c r="K927" s="515"/>
      <c r="L927" s="515"/>
      <c r="M927" s="514"/>
    </row>
    <row r="928" spans="1:13">
      <c r="A928" s="516"/>
      <c r="B928" s="517"/>
      <c r="C928" s="519"/>
      <c r="D928" s="519"/>
      <c r="E928" s="519"/>
      <c r="F928" s="518"/>
      <c r="G928" s="516"/>
      <c r="H928" s="517"/>
      <c r="I928" s="516"/>
      <c r="J928" s="516"/>
      <c r="K928" s="515"/>
      <c r="L928" s="515"/>
      <c r="M928" s="514"/>
    </row>
    <row r="929" spans="1:13">
      <c r="A929" s="516"/>
      <c r="B929" s="517"/>
      <c r="C929" s="519"/>
      <c r="D929" s="519"/>
      <c r="E929" s="519"/>
      <c r="F929" s="518"/>
      <c r="G929" s="516"/>
      <c r="H929" s="517"/>
      <c r="I929" s="516"/>
      <c r="J929" s="516"/>
      <c r="K929" s="515"/>
      <c r="L929" s="515"/>
      <c r="M929" s="514"/>
    </row>
    <row r="930" spans="1:13">
      <c r="A930" s="516"/>
      <c r="B930" s="517"/>
      <c r="C930" s="519"/>
      <c r="D930" s="519"/>
      <c r="E930" s="519"/>
      <c r="F930" s="518"/>
      <c r="G930" s="516"/>
      <c r="H930" s="517"/>
      <c r="I930" s="516"/>
      <c r="J930" s="516"/>
      <c r="K930" s="515"/>
      <c r="L930" s="515"/>
      <c r="M930" s="514"/>
    </row>
    <row r="931" spans="1:13">
      <c r="A931" s="516"/>
      <c r="B931" s="517"/>
      <c r="C931" s="519"/>
      <c r="D931" s="519"/>
      <c r="E931" s="519"/>
      <c r="F931" s="518"/>
      <c r="G931" s="516"/>
      <c r="H931" s="517"/>
      <c r="I931" s="516"/>
      <c r="J931" s="516"/>
      <c r="K931" s="515"/>
      <c r="L931" s="515"/>
      <c r="M931" s="514"/>
    </row>
    <row r="932" spans="1:13">
      <c r="A932" s="516"/>
      <c r="B932" s="517"/>
      <c r="C932" s="519"/>
      <c r="D932" s="519"/>
      <c r="E932" s="519"/>
      <c r="F932" s="518"/>
      <c r="G932" s="516"/>
      <c r="H932" s="517"/>
      <c r="I932" s="516"/>
      <c r="J932" s="516"/>
      <c r="K932" s="515"/>
      <c r="L932" s="515"/>
      <c r="M932" s="514"/>
    </row>
    <row r="933" spans="1:13">
      <c r="A933" s="516"/>
      <c r="B933" s="517"/>
      <c r="C933" s="519"/>
      <c r="D933" s="519"/>
      <c r="E933" s="519"/>
      <c r="F933" s="518"/>
      <c r="G933" s="516"/>
      <c r="H933" s="517"/>
      <c r="I933" s="516"/>
      <c r="J933" s="516"/>
      <c r="K933" s="515"/>
      <c r="L933" s="515"/>
      <c r="M933" s="514"/>
    </row>
    <row r="934" spans="1:13">
      <c r="A934" s="516"/>
      <c r="B934" s="517"/>
      <c r="C934" s="519"/>
      <c r="D934" s="519"/>
      <c r="E934" s="519"/>
      <c r="F934" s="518"/>
      <c r="G934" s="516"/>
      <c r="H934" s="517"/>
      <c r="I934" s="516"/>
      <c r="J934" s="516"/>
      <c r="K934" s="515"/>
      <c r="L934" s="515"/>
      <c r="M934" s="514"/>
    </row>
    <row r="935" spans="1:13">
      <c r="A935" s="516"/>
      <c r="B935" s="517"/>
      <c r="C935" s="519"/>
      <c r="D935" s="519"/>
      <c r="E935" s="519"/>
      <c r="F935" s="518"/>
      <c r="G935" s="516"/>
      <c r="H935" s="517"/>
      <c r="I935" s="516"/>
      <c r="J935" s="516"/>
      <c r="K935" s="515"/>
      <c r="L935" s="515"/>
      <c r="M935" s="514"/>
    </row>
    <row r="936" spans="1:13">
      <c r="A936" s="516"/>
      <c r="B936" s="517"/>
      <c r="C936" s="519"/>
      <c r="D936" s="519"/>
      <c r="E936" s="519"/>
      <c r="F936" s="518"/>
      <c r="G936" s="516"/>
      <c r="H936" s="517"/>
      <c r="I936" s="516"/>
      <c r="J936" s="516"/>
      <c r="K936" s="515"/>
      <c r="L936" s="515"/>
      <c r="M936" s="514"/>
    </row>
    <row r="937" spans="1:13">
      <c r="A937" s="516"/>
      <c r="B937" s="517"/>
      <c r="C937" s="519"/>
      <c r="D937" s="519"/>
      <c r="E937" s="519"/>
      <c r="F937" s="518"/>
      <c r="G937" s="516"/>
      <c r="H937" s="517"/>
      <c r="I937" s="516"/>
      <c r="J937" s="516"/>
      <c r="K937" s="515"/>
      <c r="L937" s="515"/>
      <c r="M937" s="514"/>
    </row>
    <row r="938" spans="1:13">
      <c r="A938" s="516"/>
      <c r="B938" s="517"/>
      <c r="C938" s="519"/>
      <c r="D938" s="519"/>
      <c r="E938" s="519"/>
      <c r="F938" s="518"/>
      <c r="G938" s="516"/>
      <c r="H938" s="517"/>
      <c r="I938" s="516"/>
      <c r="J938" s="516"/>
      <c r="K938" s="515"/>
      <c r="L938" s="515"/>
      <c r="M938" s="514"/>
    </row>
    <row r="939" spans="1:13">
      <c r="A939" s="516"/>
      <c r="B939" s="517"/>
      <c r="C939" s="519"/>
      <c r="D939" s="519"/>
      <c r="E939" s="519"/>
      <c r="F939" s="518"/>
      <c r="G939" s="516"/>
      <c r="H939" s="517"/>
      <c r="I939" s="516"/>
      <c r="J939" s="516"/>
      <c r="K939" s="515"/>
      <c r="L939" s="515"/>
      <c r="M939" s="514"/>
    </row>
    <row r="940" spans="1:13">
      <c r="A940" s="516"/>
      <c r="B940" s="517"/>
      <c r="C940" s="519"/>
      <c r="D940" s="519"/>
      <c r="E940" s="519"/>
      <c r="F940" s="518"/>
      <c r="G940" s="516"/>
      <c r="H940" s="517"/>
      <c r="I940" s="516"/>
      <c r="J940" s="516"/>
      <c r="K940" s="515"/>
      <c r="L940" s="515"/>
      <c r="M940" s="514"/>
    </row>
    <row r="941" spans="1:13">
      <c r="A941" s="516"/>
      <c r="B941" s="517"/>
      <c r="C941" s="519"/>
      <c r="D941" s="519"/>
      <c r="E941" s="519"/>
      <c r="F941" s="518"/>
      <c r="G941" s="516"/>
      <c r="H941" s="517"/>
      <c r="I941" s="516"/>
      <c r="J941" s="516"/>
      <c r="K941" s="515"/>
      <c r="L941" s="515"/>
      <c r="M941" s="514"/>
    </row>
    <row r="942" spans="1:13">
      <c r="A942" s="516"/>
      <c r="B942" s="517"/>
      <c r="C942" s="519"/>
      <c r="D942" s="519"/>
      <c r="E942" s="519"/>
      <c r="F942" s="518"/>
      <c r="G942" s="516"/>
      <c r="H942" s="517"/>
      <c r="I942" s="516"/>
      <c r="J942" s="516"/>
      <c r="K942" s="515"/>
      <c r="L942" s="515"/>
      <c r="M942" s="514"/>
    </row>
    <row r="943" spans="1:13">
      <c r="A943" s="516"/>
      <c r="B943" s="517"/>
      <c r="C943" s="519"/>
      <c r="D943" s="519"/>
      <c r="E943" s="519"/>
      <c r="F943" s="518"/>
      <c r="G943" s="516"/>
      <c r="H943" s="517"/>
      <c r="I943" s="516"/>
      <c r="J943" s="516"/>
      <c r="K943" s="515"/>
      <c r="L943" s="515"/>
      <c r="M943" s="514"/>
    </row>
    <row r="944" spans="1:13">
      <c r="A944" s="516"/>
      <c r="B944" s="517"/>
      <c r="C944" s="519"/>
      <c r="D944" s="519"/>
      <c r="E944" s="519"/>
      <c r="F944" s="518"/>
      <c r="G944" s="516"/>
      <c r="H944" s="517"/>
      <c r="I944" s="516"/>
      <c r="J944" s="516"/>
      <c r="K944" s="515"/>
      <c r="L944" s="515"/>
      <c r="M944" s="514"/>
    </row>
    <row r="945" spans="1:13">
      <c r="A945" s="516"/>
      <c r="B945" s="517"/>
      <c r="C945" s="519"/>
      <c r="D945" s="519"/>
      <c r="E945" s="519"/>
      <c r="F945" s="518"/>
      <c r="G945" s="516"/>
      <c r="H945" s="517"/>
      <c r="I945" s="516"/>
      <c r="J945" s="516"/>
      <c r="K945" s="515"/>
      <c r="L945" s="515"/>
      <c r="M945" s="514"/>
    </row>
    <row r="946" spans="1:13">
      <c r="A946" s="516"/>
      <c r="B946" s="517"/>
      <c r="C946" s="519"/>
      <c r="D946" s="519"/>
      <c r="E946" s="519"/>
      <c r="F946" s="518"/>
      <c r="G946" s="516"/>
      <c r="H946" s="517"/>
      <c r="I946" s="516"/>
      <c r="J946" s="516"/>
      <c r="K946" s="515"/>
      <c r="L946" s="515"/>
      <c r="M946" s="514"/>
    </row>
    <row r="947" spans="1:13">
      <c r="A947" s="516"/>
      <c r="B947" s="517"/>
      <c r="C947" s="519"/>
      <c r="D947" s="519"/>
      <c r="E947" s="519"/>
      <c r="F947" s="518"/>
      <c r="G947" s="516"/>
      <c r="H947" s="517"/>
      <c r="I947" s="516"/>
      <c r="J947" s="516"/>
      <c r="K947" s="515"/>
      <c r="L947" s="515"/>
      <c r="M947" s="514"/>
    </row>
    <row r="948" spans="1:13">
      <c r="A948" s="516"/>
      <c r="B948" s="517"/>
      <c r="C948" s="519"/>
      <c r="D948" s="519"/>
      <c r="E948" s="519"/>
      <c r="F948" s="518"/>
      <c r="G948" s="516"/>
      <c r="H948" s="517"/>
      <c r="I948" s="516"/>
      <c r="J948" s="516"/>
      <c r="K948" s="515"/>
      <c r="L948" s="515"/>
      <c r="M948" s="514"/>
    </row>
    <row r="949" spans="1:13">
      <c r="A949" s="516"/>
      <c r="B949" s="517"/>
      <c r="C949" s="519"/>
      <c r="D949" s="519"/>
      <c r="E949" s="519"/>
      <c r="F949" s="518"/>
      <c r="G949" s="516"/>
      <c r="H949" s="517"/>
      <c r="I949" s="516"/>
      <c r="J949" s="516"/>
      <c r="K949" s="515"/>
      <c r="L949" s="515"/>
      <c r="M949" s="514"/>
    </row>
    <row r="950" spans="1:13">
      <c r="A950" s="516"/>
      <c r="B950" s="517"/>
      <c r="C950" s="519"/>
      <c r="D950" s="519"/>
      <c r="E950" s="519"/>
      <c r="F950" s="518"/>
      <c r="G950" s="516"/>
      <c r="H950" s="517"/>
      <c r="I950" s="516"/>
      <c r="J950" s="516"/>
      <c r="K950" s="515"/>
      <c r="L950" s="515"/>
      <c r="M950" s="514"/>
    </row>
    <row r="951" spans="1:13">
      <c r="A951" s="516"/>
      <c r="B951" s="517"/>
      <c r="C951" s="519"/>
      <c r="D951" s="519"/>
      <c r="E951" s="519"/>
      <c r="F951" s="518"/>
      <c r="G951" s="516"/>
      <c r="H951" s="517"/>
      <c r="I951" s="516"/>
      <c r="J951" s="516"/>
      <c r="K951" s="515"/>
      <c r="L951" s="515"/>
      <c r="M951" s="514"/>
    </row>
    <row r="952" spans="1:13">
      <c r="A952" s="516"/>
      <c r="B952" s="517"/>
      <c r="C952" s="519"/>
      <c r="D952" s="519"/>
      <c r="E952" s="519"/>
      <c r="F952" s="518"/>
      <c r="G952" s="516"/>
      <c r="H952" s="517"/>
      <c r="I952" s="516"/>
      <c r="J952" s="516"/>
      <c r="K952" s="515"/>
      <c r="L952" s="515"/>
      <c r="M952" s="514"/>
    </row>
    <row r="953" spans="1:13">
      <c r="A953" s="516"/>
      <c r="B953" s="517"/>
      <c r="C953" s="519"/>
      <c r="D953" s="519"/>
      <c r="E953" s="519"/>
      <c r="F953" s="518"/>
      <c r="G953" s="516"/>
      <c r="H953" s="517"/>
      <c r="I953" s="516"/>
      <c r="J953" s="516"/>
      <c r="K953" s="515"/>
      <c r="L953" s="515"/>
      <c r="M953" s="514"/>
    </row>
    <row r="954" spans="1:13">
      <c r="A954" s="516"/>
      <c r="B954" s="517"/>
      <c r="C954" s="519"/>
      <c r="D954" s="519"/>
      <c r="E954" s="519"/>
      <c r="F954" s="518"/>
      <c r="G954" s="516"/>
      <c r="H954" s="517"/>
      <c r="I954" s="516"/>
      <c r="J954" s="516"/>
      <c r="K954" s="515"/>
      <c r="L954" s="515"/>
      <c r="M954" s="514"/>
    </row>
    <row r="955" spans="1:13">
      <c r="A955" s="516"/>
      <c r="B955" s="517"/>
      <c r="C955" s="519"/>
      <c r="D955" s="519"/>
      <c r="E955" s="519"/>
      <c r="F955" s="518"/>
      <c r="G955" s="516"/>
      <c r="H955" s="517"/>
      <c r="I955" s="516"/>
      <c r="J955" s="516"/>
      <c r="K955" s="515"/>
      <c r="L955" s="515"/>
      <c r="M955" s="514"/>
    </row>
    <row r="956" spans="1:13">
      <c r="A956" s="516"/>
      <c r="B956" s="517"/>
      <c r="C956" s="519"/>
      <c r="D956" s="519"/>
      <c r="E956" s="519"/>
      <c r="F956" s="518"/>
      <c r="G956" s="516"/>
      <c r="H956" s="517"/>
      <c r="I956" s="516"/>
      <c r="J956" s="516"/>
      <c r="K956" s="515"/>
      <c r="L956" s="515"/>
      <c r="M956" s="514"/>
    </row>
    <row r="957" spans="1:13">
      <c r="A957" s="516"/>
      <c r="B957" s="517"/>
      <c r="C957" s="519"/>
      <c r="D957" s="519"/>
      <c r="E957" s="519"/>
      <c r="F957" s="518"/>
      <c r="G957" s="516"/>
      <c r="H957" s="517"/>
      <c r="I957" s="516"/>
      <c r="J957" s="516"/>
      <c r="K957" s="515"/>
      <c r="L957" s="515"/>
      <c r="M957" s="514"/>
    </row>
    <row r="958" spans="1:13">
      <c r="A958" s="516"/>
      <c r="B958" s="517"/>
      <c r="C958" s="519"/>
      <c r="D958" s="519"/>
      <c r="E958" s="519"/>
      <c r="F958" s="518"/>
      <c r="G958" s="516"/>
      <c r="H958" s="517"/>
      <c r="I958" s="516"/>
      <c r="J958" s="516"/>
      <c r="K958" s="515"/>
      <c r="L958" s="515"/>
      <c r="M958" s="514"/>
    </row>
    <row r="959" spans="1:13">
      <c r="A959" s="516"/>
      <c r="B959" s="517"/>
      <c r="C959" s="519"/>
      <c r="D959" s="519"/>
      <c r="E959" s="519"/>
      <c r="F959" s="518"/>
      <c r="G959" s="516"/>
      <c r="H959" s="517"/>
      <c r="I959" s="516"/>
      <c r="J959" s="516"/>
      <c r="K959" s="515"/>
      <c r="L959" s="515"/>
      <c r="M959" s="514"/>
    </row>
    <row r="960" spans="1:13">
      <c r="A960" s="516"/>
      <c r="B960" s="517"/>
      <c r="C960" s="519"/>
      <c r="D960" s="519"/>
      <c r="E960" s="519"/>
      <c r="F960" s="518"/>
      <c r="G960" s="516"/>
      <c r="H960" s="517"/>
      <c r="I960" s="516"/>
      <c r="J960" s="516"/>
      <c r="K960" s="515"/>
      <c r="L960" s="515"/>
      <c r="M960" s="514"/>
    </row>
    <row r="961" spans="1:13">
      <c r="A961" s="516"/>
      <c r="B961" s="517"/>
      <c r="C961" s="519"/>
      <c r="D961" s="519"/>
      <c r="E961" s="519"/>
      <c r="F961" s="518"/>
      <c r="G961" s="516"/>
      <c r="H961" s="517"/>
      <c r="I961" s="516"/>
      <c r="J961" s="516"/>
      <c r="K961" s="515"/>
      <c r="L961" s="515"/>
      <c r="M961" s="514"/>
    </row>
    <row r="962" spans="1:13">
      <c r="A962" s="516"/>
      <c r="B962" s="517"/>
      <c r="C962" s="519"/>
      <c r="D962" s="519"/>
      <c r="E962" s="519"/>
      <c r="F962" s="518"/>
      <c r="G962" s="516"/>
      <c r="H962" s="517"/>
      <c r="I962" s="516"/>
      <c r="J962" s="516"/>
      <c r="K962" s="515"/>
      <c r="L962" s="515"/>
      <c r="M962" s="514"/>
    </row>
    <row r="963" spans="1:13">
      <c r="A963" s="516"/>
      <c r="B963" s="517"/>
      <c r="C963" s="519"/>
      <c r="D963" s="519"/>
      <c r="E963" s="519"/>
      <c r="F963" s="518"/>
      <c r="G963" s="516"/>
      <c r="H963" s="517"/>
      <c r="I963" s="516"/>
      <c r="J963" s="516"/>
      <c r="K963" s="515"/>
      <c r="L963" s="515"/>
      <c r="M963" s="514"/>
    </row>
    <row r="964" spans="1:13">
      <c r="A964" s="516"/>
      <c r="B964" s="517"/>
      <c r="C964" s="519"/>
      <c r="D964" s="519"/>
      <c r="E964" s="519"/>
      <c r="F964" s="518"/>
      <c r="G964" s="516"/>
      <c r="H964" s="517"/>
      <c r="I964" s="516"/>
      <c r="J964" s="516"/>
      <c r="K964" s="515"/>
      <c r="L964" s="515"/>
      <c r="M964" s="514"/>
    </row>
    <row r="965" spans="1:13">
      <c r="A965" s="516"/>
      <c r="B965" s="517"/>
      <c r="C965" s="519"/>
      <c r="D965" s="519"/>
      <c r="E965" s="519"/>
      <c r="F965" s="518"/>
      <c r="G965" s="516"/>
      <c r="H965" s="517"/>
      <c r="I965" s="516"/>
      <c r="J965" s="516"/>
      <c r="K965" s="515"/>
      <c r="L965" s="515"/>
      <c r="M965" s="514"/>
    </row>
    <row r="966" spans="1:13">
      <c r="A966" s="516"/>
      <c r="B966" s="517"/>
      <c r="C966" s="519"/>
      <c r="D966" s="519"/>
      <c r="E966" s="519"/>
      <c r="F966" s="518"/>
      <c r="G966" s="516"/>
      <c r="H966" s="517"/>
      <c r="I966" s="516"/>
      <c r="J966" s="516"/>
      <c r="K966" s="515"/>
      <c r="L966" s="515"/>
      <c r="M966" s="514"/>
    </row>
    <row r="967" spans="1:13">
      <c r="A967" s="516"/>
      <c r="B967" s="517"/>
      <c r="C967" s="519"/>
      <c r="D967" s="519"/>
      <c r="E967" s="519"/>
      <c r="F967" s="518"/>
      <c r="G967" s="516"/>
      <c r="H967" s="517"/>
      <c r="I967" s="516"/>
      <c r="J967" s="516"/>
      <c r="K967" s="515"/>
      <c r="L967" s="515"/>
      <c r="M967" s="514"/>
    </row>
    <row r="968" spans="1:13">
      <c r="A968" s="516"/>
      <c r="B968" s="517"/>
      <c r="C968" s="519"/>
      <c r="D968" s="519"/>
      <c r="E968" s="519"/>
      <c r="F968" s="518"/>
      <c r="G968" s="516"/>
      <c r="H968" s="517"/>
      <c r="I968" s="516"/>
      <c r="J968" s="516"/>
      <c r="K968" s="515"/>
      <c r="L968" s="515"/>
      <c r="M968" s="514"/>
    </row>
    <row r="969" spans="1:13">
      <c r="A969" s="516"/>
      <c r="B969" s="517"/>
      <c r="C969" s="519"/>
      <c r="D969" s="519"/>
      <c r="E969" s="519"/>
      <c r="F969" s="518"/>
      <c r="G969" s="516"/>
      <c r="H969" s="517"/>
      <c r="I969" s="516"/>
      <c r="J969" s="516"/>
      <c r="K969" s="515"/>
      <c r="L969" s="515"/>
      <c r="M969" s="514"/>
    </row>
    <row r="970" spans="1:13">
      <c r="A970" s="516"/>
      <c r="B970" s="517"/>
      <c r="C970" s="519"/>
      <c r="D970" s="519"/>
      <c r="E970" s="519"/>
      <c r="F970" s="518"/>
      <c r="G970" s="516"/>
      <c r="H970" s="517"/>
      <c r="I970" s="516"/>
      <c r="J970" s="516"/>
      <c r="K970" s="515"/>
      <c r="L970" s="515"/>
      <c r="M970" s="514"/>
    </row>
    <row r="971" spans="1:13">
      <c r="A971" s="516"/>
      <c r="B971" s="517"/>
      <c r="C971" s="519"/>
      <c r="D971" s="519"/>
      <c r="E971" s="519"/>
      <c r="F971" s="518"/>
      <c r="G971" s="516"/>
      <c r="H971" s="517"/>
      <c r="I971" s="516"/>
      <c r="J971" s="516"/>
      <c r="K971" s="515"/>
      <c r="L971" s="515"/>
      <c r="M971" s="514"/>
    </row>
    <row r="972" spans="1:13">
      <c r="A972" s="516"/>
      <c r="B972" s="517"/>
      <c r="C972" s="519"/>
      <c r="D972" s="519"/>
      <c r="E972" s="519"/>
      <c r="F972" s="518"/>
      <c r="G972" s="516"/>
      <c r="H972" s="517"/>
      <c r="I972" s="516"/>
      <c r="J972" s="516"/>
      <c r="K972" s="515"/>
      <c r="L972" s="515"/>
      <c r="M972" s="514"/>
    </row>
    <row r="973" spans="1:13">
      <c r="A973" s="516"/>
      <c r="B973" s="517"/>
      <c r="C973" s="519"/>
      <c r="D973" s="519"/>
      <c r="E973" s="519"/>
      <c r="F973" s="518"/>
      <c r="G973" s="516"/>
      <c r="H973" s="517"/>
      <c r="I973" s="516"/>
      <c r="J973" s="516"/>
      <c r="K973" s="515"/>
      <c r="L973" s="515"/>
      <c r="M973" s="514"/>
    </row>
    <row r="974" spans="1:13">
      <c r="A974" s="516"/>
      <c r="B974" s="517"/>
      <c r="C974" s="519"/>
      <c r="D974" s="519"/>
      <c r="E974" s="519"/>
      <c r="F974" s="518"/>
      <c r="G974" s="516"/>
      <c r="H974" s="517"/>
      <c r="I974" s="516"/>
      <c r="J974" s="516"/>
      <c r="K974" s="515"/>
      <c r="L974" s="515"/>
      <c r="M974" s="514"/>
    </row>
    <row r="975" spans="1:13">
      <c r="A975" s="516"/>
      <c r="B975" s="517"/>
      <c r="C975" s="519"/>
      <c r="D975" s="519"/>
      <c r="E975" s="519"/>
      <c r="F975" s="518"/>
      <c r="G975" s="516"/>
      <c r="H975" s="517"/>
      <c r="I975" s="516"/>
      <c r="J975" s="516"/>
      <c r="K975" s="515"/>
      <c r="L975" s="515"/>
      <c r="M975" s="514"/>
    </row>
    <row r="976" spans="1:13">
      <c r="A976" s="516"/>
      <c r="B976" s="517"/>
      <c r="C976" s="519"/>
      <c r="D976" s="519"/>
      <c r="E976" s="519"/>
      <c r="F976" s="518"/>
      <c r="G976" s="516"/>
      <c r="H976" s="517"/>
      <c r="I976" s="516"/>
      <c r="J976" s="516"/>
      <c r="K976" s="515"/>
      <c r="L976" s="515"/>
      <c r="M976" s="514"/>
    </row>
    <row r="977" spans="1:13">
      <c r="A977" s="516"/>
      <c r="B977" s="517"/>
      <c r="C977" s="519"/>
      <c r="D977" s="519"/>
      <c r="E977" s="519"/>
      <c r="F977" s="518"/>
      <c r="G977" s="516"/>
      <c r="H977" s="517"/>
      <c r="I977" s="516"/>
      <c r="J977" s="516"/>
      <c r="K977" s="515"/>
      <c r="L977" s="515"/>
      <c r="M977" s="514"/>
    </row>
    <row r="978" spans="1:13">
      <c r="A978" s="516"/>
      <c r="B978" s="517"/>
      <c r="C978" s="519"/>
      <c r="D978" s="519"/>
      <c r="E978" s="519"/>
      <c r="F978" s="518"/>
      <c r="G978" s="516"/>
      <c r="H978" s="517"/>
      <c r="I978" s="516"/>
      <c r="J978" s="516"/>
      <c r="K978" s="515"/>
      <c r="L978" s="515"/>
      <c r="M978" s="514"/>
    </row>
    <row r="979" spans="1:13">
      <c r="A979" s="516"/>
      <c r="B979" s="517"/>
      <c r="C979" s="519"/>
      <c r="D979" s="519"/>
      <c r="E979" s="519"/>
      <c r="F979" s="518"/>
      <c r="G979" s="516"/>
      <c r="H979" s="517"/>
      <c r="I979" s="516"/>
      <c r="J979" s="516"/>
      <c r="K979" s="515"/>
      <c r="L979" s="515"/>
      <c r="M979" s="514"/>
    </row>
    <row r="980" spans="1:13">
      <c r="A980" s="516"/>
      <c r="B980" s="517"/>
      <c r="C980" s="519"/>
      <c r="D980" s="519"/>
      <c r="E980" s="519"/>
      <c r="F980" s="518"/>
      <c r="G980" s="516"/>
      <c r="H980" s="517"/>
      <c r="I980" s="516"/>
      <c r="J980" s="516"/>
      <c r="K980" s="515"/>
      <c r="L980" s="515"/>
      <c r="M980" s="514"/>
    </row>
    <row r="981" spans="1:13">
      <c r="A981" s="516"/>
      <c r="B981" s="517"/>
      <c r="C981" s="519"/>
      <c r="D981" s="519"/>
      <c r="E981" s="519"/>
      <c r="F981" s="518"/>
      <c r="G981" s="516"/>
      <c r="H981" s="517"/>
      <c r="I981" s="516"/>
      <c r="J981" s="516"/>
      <c r="K981" s="515"/>
      <c r="L981" s="515"/>
      <c r="M981" s="514"/>
    </row>
    <row r="982" spans="1:13">
      <c r="A982" s="516"/>
      <c r="B982" s="517"/>
      <c r="C982" s="519"/>
      <c r="D982" s="519"/>
      <c r="E982" s="519"/>
      <c r="F982" s="518"/>
      <c r="G982" s="516"/>
      <c r="H982" s="517"/>
      <c r="I982" s="516"/>
      <c r="J982" s="516"/>
      <c r="K982" s="515"/>
      <c r="L982" s="515"/>
      <c r="M982" s="514"/>
    </row>
    <row r="983" spans="1:13">
      <c r="A983" s="516"/>
      <c r="B983" s="517"/>
      <c r="C983" s="519"/>
      <c r="D983" s="519"/>
      <c r="E983" s="519"/>
      <c r="F983" s="518"/>
      <c r="G983" s="516"/>
      <c r="H983" s="517"/>
      <c r="I983" s="516"/>
      <c r="J983" s="516"/>
      <c r="K983" s="515"/>
      <c r="L983" s="515"/>
      <c r="M983" s="514"/>
    </row>
    <row r="984" spans="1:13">
      <c r="A984" s="516"/>
      <c r="B984" s="517"/>
      <c r="C984" s="519"/>
      <c r="D984" s="519"/>
      <c r="E984" s="519"/>
      <c r="F984" s="518"/>
      <c r="G984" s="516"/>
      <c r="H984" s="517"/>
      <c r="I984" s="516"/>
      <c r="J984" s="516"/>
      <c r="K984" s="515"/>
      <c r="L984" s="515"/>
      <c r="M984" s="514"/>
    </row>
    <row r="985" spans="1:13">
      <c r="A985" s="516"/>
      <c r="B985" s="517"/>
      <c r="C985" s="519"/>
      <c r="D985" s="519"/>
      <c r="E985" s="519"/>
      <c r="F985" s="518"/>
      <c r="G985" s="516"/>
      <c r="H985" s="517"/>
      <c r="I985" s="516"/>
      <c r="J985" s="516"/>
      <c r="K985" s="515"/>
      <c r="L985" s="515"/>
      <c r="M985" s="514"/>
    </row>
    <row r="986" spans="1:13">
      <c r="A986" s="516"/>
      <c r="B986" s="517"/>
      <c r="C986" s="519"/>
      <c r="D986" s="519"/>
      <c r="E986" s="519"/>
      <c r="F986" s="518"/>
      <c r="G986" s="516"/>
      <c r="H986" s="517"/>
      <c r="I986" s="516"/>
      <c r="J986" s="516"/>
      <c r="K986" s="515"/>
      <c r="L986" s="515"/>
      <c r="M986" s="514"/>
    </row>
    <row r="987" spans="1:13">
      <c r="A987" s="516"/>
      <c r="B987" s="517"/>
      <c r="C987" s="519"/>
      <c r="D987" s="519"/>
      <c r="E987" s="519"/>
      <c r="F987" s="518"/>
      <c r="G987" s="516"/>
      <c r="H987" s="517"/>
      <c r="I987" s="516"/>
      <c r="J987" s="516"/>
      <c r="K987" s="515"/>
      <c r="L987" s="515"/>
      <c r="M987" s="514"/>
    </row>
    <row r="988" spans="1:13">
      <c r="A988" s="516"/>
      <c r="B988" s="517"/>
      <c r="C988" s="519"/>
      <c r="D988" s="519"/>
      <c r="E988" s="519"/>
      <c r="F988" s="518"/>
      <c r="G988" s="516"/>
      <c r="H988" s="517"/>
      <c r="I988" s="516"/>
      <c r="J988" s="516"/>
      <c r="K988" s="515"/>
      <c r="L988" s="515"/>
      <c r="M988" s="514"/>
    </row>
    <row r="989" spans="1:13">
      <c r="A989" s="516"/>
      <c r="B989" s="517"/>
      <c r="C989" s="519"/>
      <c r="D989" s="519"/>
      <c r="E989" s="519"/>
      <c r="F989" s="518"/>
      <c r="G989" s="516"/>
      <c r="H989" s="517"/>
      <c r="I989" s="516"/>
      <c r="J989" s="516"/>
      <c r="K989" s="515"/>
      <c r="L989" s="515"/>
      <c r="M989" s="514"/>
    </row>
    <row r="990" spans="1:13">
      <c r="A990" s="516"/>
      <c r="B990" s="517"/>
      <c r="C990" s="519"/>
      <c r="D990" s="519"/>
      <c r="E990" s="519"/>
      <c r="F990" s="518"/>
      <c r="G990" s="516"/>
      <c r="H990" s="517"/>
      <c r="I990" s="516"/>
      <c r="J990" s="516"/>
      <c r="K990" s="515"/>
      <c r="L990" s="515"/>
      <c r="M990" s="514"/>
    </row>
    <row r="991" spans="1:13">
      <c r="A991" s="516"/>
      <c r="B991" s="517"/>
      <c r="C991" s="519"/>
      <c r="D991" s="519"/>
      <c r="E991" s="519"/>
      <c r="F991" s="518"/>
      <c r="G991" s="516"/>
      <c r="H991" s="517"/>
      <c r="I991" s="516"/>
      <c r="J991" s="516"/>
      <c r="K991" s="515"/>
      <c r="L991" s="515"/>
      <c r="M991" s="514"/>
    </row>
    <row r="992" spans="1:13">
      <c r="A992" s="516"/>
      <c r="B992" s="517"/>
      <c r="C992" s="519"/>
      <c r="D992" s="519"/>
      <c r="E992" s="519"/>
      <c r="F992" s="518"/>
      <c r="G992" s="516"/>
      <c r="H992" s="517"/>
      <c r="I992" s="516"/>
      <c r="J992" s="516"/>
      <c r="K992" s="515"/>
      <c r="L992" s="515"/>
      <c r="M992" s="514"/>
    </row>
    <row r="993" spans="1:13">
      <c r="A993" s="516"/>
      <c r="B993" s="517"/>
      <c r="C993" s="519"/>
      <c r="D993" s="519"/>
      <c r="E993" s="519"/>
      <c r="F993" s="518"/>
      <c r="G993" s="516"/>
      <c r="H993" s="517"/>
      <c r="I993" s="516"/>
      <c r="J993" s="516"/>
      <c r="K993" s="515"/>
      <c r="L993" s="515"/>
      <c r="M993" s="514"/>
    </row>
    <row r="994" spans="1:13">
      <c r="A994" s="516"/>
      <c r="B994" s="517"/>
      <c r="C994" s="519"/>
      <c r="D994" s="519"/>
      <c r="E994" s="519"/>
      <c r="F994" s="518"/>
      <c r="G994" s="516"/>
      <c r="H994" s="517"/>
      <c r="I994" s="516"/>
      <c r="J994" s="516"/>
      <c r="K994" s="515"/>
      <c r="L994" s="515"/>
      <c r="M994" s="514"/>
    </row>
    <row r="995" spans="1:13">
      <c r="A995" s="516"/>
      <c r="B995" s="517"/>
      <c r="C995" s="519"/>
      <c r="D995" s="519"/>
      <c r="E995" s="519"/>
      <c r="F995" s="518"/>
      <c r="G995" s="516"/>
      <c r="H995" s="517"/>
      <c r="I995" s="516"/>
      <c r="J995" s="516"/>
      <c r="K995" s="515"/>
      <c r="L995" s="515"/>
      <c r="M995" s="514"/>
    </row>
    <row r="996" spans="1:13">
      <c r="A996" s="516"/>
      <c r="B996" s="517"/>
      <c r="C996" s="519"/>
      <c r="D996" s="519"/>
      <c r="E996" s="519"/>
      <c r="F996" s="518"/>
      <c r="G996" s="516"/>
      <c r="H996" s="517"/>
      <c r="I996" s="516"/>
      <c r="J996" s="516"/>
      <c r="K996" s="515"/>
      <c r="L996" s="515"/>
      <c r="M996" s="514"/>
    </row>
    <row r="997" spans="1:13">
      <c r="A997" s="516"/>
      <c r="B997" s="517"/>
      <c r="C997" s="519"/>
      <c r="D997" s="519"/>
      <c r="E997" s="519"/>
      <c r="F997" s="518"/>
      <c r="G997" s="516"/>
      <c r="H997" s="517"/>
      <c r="I997" s="516"/>
      <c r="J997" s="516"/>
      <c r="K997" s="515"/>
      <c r="L997" s="515"/>
      <c r="M997" s="514"/>
    </row>
    <row r="998" spans="1:13">
      <c r="A998" s="516"/>
      <c r="B998" s="517"/>
      <c r="C998" s="519"/>
      <c r="D998" s="519"/>
      <c r="E998" s="519"/>
      <c r="F998" s="518"/>
      <c r="G998" s="516"/>
      <c r="H998" s="517"/>
      <c r="I998" s="516"/>
      <c r="J998" s="516"/>
      <c r="K998" s="515"/>
      <c r="L998" s="515"/>
      <c r="M998" s="514"/>
    </row>
    <row r="999" spans="1:13">
      <c r="A999" s="516"/>
      <c r="B999" s="517"/>
      <c r="C999" s="519"/>
      <c r="D999" s="519"/>
      <c r="E999" s="519"/>
      <c r="F999" s="518"/>
      <c r="G999" s="516"/>
      <c r="H999" s="517"/>
      <c r="I999" s="516"/>
      <c r="J999" s="516"/>
      <c r="K999" s="515"/>
      <c r="L999" s="515"/>
      <c r="M999" s="514"/>
    </row>
    <row r="1000" spans="1:13">
      <c r="A1000" s="516"/>
      <c r="B1000" s="517"/>
      <c r="C1000" s="519"/>
      <c r="D1000" s="519"/>
      <c r="E1000" s="519"/>
      <c r="F1000" s="518"/>
      <c r="G1000" s="516"/>
      <c r="H1000" s="517"/>
      <c r="I1000" s="516"/>
      <c r="J1000" s="516"/>
      <c r="K1000" s="515"/>
      <c r="L1000" s="515"/>
      <c r="M1000" s="514"/>
    </row>
    <row r="1001" spans="1:13">
      <c r="A1001" s="516"/>
      <c r="B1001" s="517"/>
      <c r="C1001" s="519"/>
      <c r="D1001" s="519"/>
      <c r="E1001" s="519"/>
      <c r="F1001" s="518"/>
      <c r="G1001" s="516"/>
      <c r="H1001" s="517"/>
      <c r="I1001" s="516"/>
      <c r="J1001" s="516"/>
      <c r="K1001" s="515"/>
      <c r="L1001" s="515"/>
      <c r="M1001" s="514"/>
    </row>
    <row r="1002" spans="1:13">
      <c r="A1002" s="516"/>
      <c r="B1002" s="517"/>
      <c r="C1002" s="519"/>
      <c r="D1002" s="519"/>
      <c r="E1002" s="519"/>
      <c r="F1002" s="518"/>
      <c r="G1002" s="516"/>
      <c r="H1002" s="517"/>
      <c r="I1002" s="516"/>
      <c r="J1002" s="516"/>
      <c r="K1002" s="515"/>
      <c r="L1002" s="515"/>
      <c r="M1002" s="514"/>
    </row>
    <row r="1003" spans="1:13">
      <c r="A1003" s="516"/>
      <c r="B1003" s="517"/>
      <c r="C1003" s="519"/>
      <c r="D1003" s="519"/>
      <c r="E1003" s="519"/>
      <c r="F1003" s="518"/>
      <c r="G1003" s="516"/>
      <c r="H1003" s="517"/>
      <c r="I1003" s="516"/>
      <c r="J1003" s="516"/>
      <c r="K1003" s="515"/>
      <c r="L1003" s="515"/>
      <c r="M1003" s="514"/>
    </row>
    <row r="1004" spans="1:13">
      <c r="A1004" s="516"/>
      <c r="B1004" s="517"/>
      <c r="C1004" s="519"/>
      <c r="D1004" s="519"/>
      <c r="E1004" s="519"/>
      <c r="F1004" s="518"/>
      <c r="G1004" s="516"/>
      <c r="H1004" s="517"/>
      <c r="I1004" s="516"/>
      <c r="J1004" s="516"/>
      <c r="K1004" s="515"/>
      <c r="L1004" s="515"/>
      <c r="M1004" s="514"/>
    </row>
    <row r="1005" spans="1:13">
      <c r="A1005" s="516"/>
      <c r="B1005" s="517"/>
      <c r="C1005" s="519"/>
      <c r="D1005" s="519"/>
      <c r="E1005" s="519"/>
      <c r="F1005" s="518"/>
      <c r="G1005" s="516"/>
      <c r="H1005" s="517"/>
      <c r="I1005" s="516"/>
      <c r="J1005" s="516"/>
      <c r="K1005" s="515"/>
      <c r="L1005" s="515"/>
      <c r="M1005" s="514"/>
    </row>
    <row r="1006" spans="1:13">
      <c r="A1006" s="516"/>
      <c r="B1006" s="517"/>
      <c r="C1006" s="519"/>
      <c r="D1006" s="519"/>
      <c r="E1006" s="519"/>
      <c r="F1006" s="518"/>
      <c r="G1006" s="516"/>
      <c r="H1006" s="517"/>
      <c r="I1006" s="516"/>
      <c r="J1006" s="516"/>
      <c r="K1006" s="515"/>
      <c r="L1006" s="515"/>
      <c r="M1006" s="514"/>
    </row>
    <row r="1007" spans="1:13">
      <c r="A1007" s="516"/>
      <c r="B1007" s="517"/>
      <c r="C1007" s="519"/>
      <c r="D1007" s="519"/>
      <c r="E1007" s="519"/>
      <c r="F1007" s="518"/>
      <c r="G1007" s="516"/>
      <c r="H1007" s="517"/>
      <c r="I1007" s="516"/>
      <c r="J1007" s="516"/>
      <c r="K1007" s="515"/>
      <c r="L1007" s="515"/>
      <c r="M1007" s="514"/>
    </row>
    <row r="1008" spans="1:13">
      <c r="A1008" s="516"/>
      <c r="B1008" s="517"/>
      <c r="C1008" s="519"/>
      <c r="D1008" s="519"/>
      <c r="E1008" s="519"/>
      <c r="F1008" s="518"/>
      <c r="G1008" s="516"/>
      <c r="H1008" s="517"/>
      <c r="I1008" s="516"/>
      <c r="J1008" s="516"/>
      <c r="K1008" s="515"/>
      <c r="L1008" s="515"/>
      <c r="M1008" s="514"/>
    </row>
    <row r="1009" spans="1:13">
      <c r="A1009" s="516"/>
      <c r="B1009" s="517"/>
      <c r="C1009" s="519"/>
      <c r="D1009" s="519"/>
      <c r="E1009" s="519"/>
      <c r="F1009" s="518"/>
      <c r="G1009" s="516"/>
      <c r="H1009" s="517"/>
      <c r="I1009" s="516"/>
      <c r="J1009" s="516"/>
      <c r="K1009" s="515"/>
      <c r="L1009" s="515"/>
      <c r="M1009" s="514"/>
    </row>
    <row r="1010" spans="1:13">
      <c r="A1010" s="516"/>
      <c r="B1010" s="517"/>
      <c r="C1010" s="519"/>
      <c r="D1010" s="519"/>
      <c r="E1010" s="519"/>
      <c r="F1010" s="518"/>
      <c r="G1010" s="516"/>
      <c r="H1010" s="517"/>
      <c r="I1010" s="516"/>
      <c r="J1010" s="516"/>
      <c r="K1010" s="515"/>
      <c r="L1010" s="515"/>
      <c r="M1010" s="514"/>
    </row>
    <row r="1011" spans="1:13">
      <c r="A1011" s="516"/>
      <c r="B1011" s="517"/>
      <c r="C1011" s="519"/>
      <c r="D1011" s="519"/>
      <c r="E1011" s="519"/>
      <c r="F1011" s="518"/>
      <c r="G1011" s="516"/>
      <c r="H1011" s="517"/>
      <c r="I1011" s="516"/>
      <c r="J1011" s="516"/>
      <c r="K1011" s="515"/>
      <c r="L1011" s="515"/>
      <c r="M1011" s="514"/>
    </row>
    <row r="1012" spans="1:13">
      <c r="A1012" s="516"/>
      <c r="B1012" s="517"/>
      <c r="C1012" s="519"/>
      <c r="D1012" s="519"/>
      <c r="E1012" s="519"/>
      <c r="F1012" s="518"/>
      <c r="G1012" s="516"/>
      <c r="H1012" s="517"/>
      <c r="I1012" s="516"/>
      <c r="J1012" s="516"/>
      <c r="K1012" s="515"/>
      <c r="L1012" s="515"/>
      <c r="M1012" s="514"/>
    </row>
    <row r="1013" spans="1:13">
      <c r="A1013" s="516"/>
      <c r="B1013" s="517"/>
      <c r="C1013" s="519"/>
      <c r="D1013" s="519"/>
      <c r="E1013" s="519"/>
      <c r="F1013" s="518"/>
      <c r="G1013" s="516"/>
      <c r="H1013" s="517"/>
      <c r="I1013" s="516"/>
      <c r="J1013" s="516"/>
      <c r="K1013" s="515"/>
      <c r="L1013" s="515"/>
      <c r="M1013" s="514"/>
    </row>
    <row r="1014" spans="1:13">
      <c r="A1014" s="516"/>
      <c r="B1014" s="517"/>
      <c r="C1014" s="519"/>
      <c r="D1014" s="519"/>
      <c r="E1014" s="519"/>
      <c r="F1014" s="518"/>
      <c r="G1014" s="516"/>
      <c r="H1014" s="517"/>
      <c r="I1014" s="516"/>
      <c r="J1014" s="516"/>
      <c r="K1014" s="515"/>
      <c r="L1014" s="515"/>
      <c r="M1014" s="514"/>
    </row>
    <row r="1015" spans="1:13">
      <c r="A1015" s="516"/>
      <c r="B1015" s="517"/>
      <c r="C1015" s="519"/>
      <c r="D1015" s="519"/>
      <c r="E1015" s="519"/>
      <c r="F1015" s="518"/>
      <c r="G1015" s="516"/>
      <c r="H1015" s="517"/>
      <c r="I1015" s="516"/>
      <c r="J1015" s="516"/>
      <c r="K1015" s="515"/>
      <c r="L1015" s="515"/>
      <c r="M1015" s="514"/>
    </row>
    <row r="1016" spans="1:13">
      <c r="A1016" s="516"/>
      <c r="B1016" s="517"/>
      <c r="C1016" s="519"/>
      <c r="D1016" s="519"/>
      <c r="E1016" s="519"/>
      <c r="F1016" s="518"/>
      <c r="G1016" s="516"/>
      <c r="H1016" s="517"/>
      <c r="I1016" s="516"/>
      <c r="J1016" s="516"/>
      <c r="K1016" s="515"/>
      <c r="L1016" s="515"/>
      <c r="M1016" s="514"/>
    </row>
    <row r="1017" spans="1:13">
      <c r="A1017" s="516"/>
      <c r="B1017" s="517"/>
      <c r="C1017" s="519"/>
      <c r="D1017" s="519"/>
      <c r="E1017" s="519"/>
      <c r="F1017" s="518"/>
      <c r="G1017" s="516"/>
      <c r="H1017" s="517"/>
      <c r="I1017" s="516"/>
      <c r="J1017" s="516"/>
      <c r="K1017" s="515"/>
      <c r="L1017" s="515"/>
      <c r="M1017" s="514"/>
    </row>
    <row r="1018" spans="1:13">
      <c r="A1018" s="516"/>
      <c r="B1018" s="517"/>
      <c r="C1018" s="519"/>
      <c r="D1018" s="519"/>
      <c r="E1018" s="519"/>
      <c r="F1018" s="518"/>
      <c r="G1018" s="516"/>
      <c r="H1018" s="517"/>
      <c r="I1018" s="516"/>
      <c r="J1018" s="516"/>
      <c r="K1018" s="515"/>
      <c r="L1018" s="515"/>
      <c r="M1018" s="514"/>
    </row>
    <row r="1019" spans="1:13">
      <c r="A1019" s="516"/>
      <c r="B1019" s="517"/>
      <c r="C1019" s="519"/>
      <c r="D1019" s="519"/>
      <c r="E1019" s="519"/>
      <c r="F1019" s="518"/>
      <c r="G1019" s="516"/>
      <c r="H1019" s="517"/>
      <c r="I1019" s="516"/>
      <c r="J1019" s="516"/>
      <c r="K1019" s="515"/>
      <c r="L1019" s="515"/>
      <c r="M1019" s="514"/>
    </row>
    <row r="1020" spans="1:13">
      <c r="A1020" s="516"/>
      <c r="B1020" s="517"/>
      <c r="C1020" s="519"/>
      <c r="D1020" s="519"/>
      <c r="E1020" s="519"/>
      <c r="F1020" s="518"/>
      <c r="G1020" s="516"/>
      <c r="H1020" s="517"/>
      <c r="I1020" s="516"/>
      <c r="J1020" s="516"/>
      <c r="K1020" s="515"/>
      <c r="L1020" s="515"/>
      <c r="M1020" s="514"/>
    </row>
    <row r="1021" spans="1:13">
      <c r="A1021" s="516"/>
      <c r="B1021" s="517"/>
      <c r="C1021" s="519"/>
      <c r="D1021" s="519"/>
      <c r="E1021" s="519"/>
      <c r="F1021" s="518"/>
      <c r="G1021" s="516"/>
      <c r="H1021" s="517"/>
      <c r="I1021" s="516"/>
      <c r="J1021" s="516"/>
      <c r="K1021" s="515"/>
      <c r="L1021" s="515"/>
      <c r="M1021" s="514"/>
    </row>
    <row r="1022" spans="1:13">
      <c r="A1022" s="516"/>
      <c r="B1022" s="517"/>
      <c r="C1022" s="519"/>
      <c r="D1022" s="519"/>
      <c r="E1022" s="519"/>
      <c r="F1022" s="518"/>
      <c r="G1022" s="516"/>
      <c r="H1022" s="517"/>
      <c r="I1022" s="516"/>
      <c r="J1022" s="516"/>
      <c r="K1022" s="515"/>
      <c r="L1022" s="515"/>
      <c r="M1022" s="514"/>
    </row>
    <row r="1023" spans="1:13">
      <c r="A1023" s="516"/>
      <c r="B1023" s="517"/>
      <c r="C1023" s="519"/>
      <c r="D1023" s="519"/>
      <c r="E1023" s="519"/>
      <c r="F1023" s="518"/>
      <c r="G1023" s="516"/>
      <c r="H1023" s="517"/>
      <c r="I1023" s="516"/>
      <c r="J1023" s="516"/>
      <c r="K1023" s="515"/>
      <c r="L1023" s="515"/>
      <c r="M1023" s="514"/>
    </row>
    <row r="1024" spans="1:13">
      <c r="A1024" s="516"/>
      <c r="B1024" s="517"/>
      <c r="C1024" s="519"/>
      <c r="D1024" s="519"/>
      <c r="E1024" s="519"/>
      <c r="F1024" s="518"/>
      <c r="G1024" s="516"/>
      <c r="H1024" s="517"/>
      <c r="I1024" s="516"/>
      <c r="J1024" s="516"/>
      <c r="K1024" s="515"/>
      <c r="L1024" s="515"/>
      <c r="M1024" s="514"/>
    </row>
    <row r="1025" spans="1:13">
      <c r="A1025" s="516"/>
      <c r="B1025" s="517"/>
      <c r="C1025" s="519"/>
      <c r="D1025" s="519"/>
      <c r="E1025" s="519"/>
      <c r="F1025" s="518"/>
      <c r="G1025" s="516"/>
      <c r="H1025" s="517"/>
      <c r="I1025" s="516"/>
      <c r="J1025" s="516"/>
      <c r="K1025" s="515"/>
      <c r="L1025" s="515"/>
      <c r="M1025" s="514"/>
    </row>
    <row r="1026" spans="1:13">
      <c r="A1026" s="516"/>
      <c r="B1026" s="517"/>
      <c r="C1026" s="519"/>
      <c r="D1026" s="519"/>
      <c r="E1026" s="519"/>
      <c r="F1026" s="518"/>
      <c r="G1026" s="516"/>
      <c r="H1026" s="517"/>
      <c r="I1026" s="516"/>
      <c r="J1026" s="516"/>
      <c r="K1026" s="515"/>
      <c r="L1026" s="515"/>
      <c r="M1026" s="514"/>
    </row>
    <row r="1027" spans="1:13">
      <c r="A1027" s="516"/>
      <c r="B1027" s="517"/>
      <c r="C1027" s="519"/>
      <c r="D1027" s="519"/>
      <c r="E1027" s="519"/>
      <c r="F1027" s="518"/>
      <c r="G1027" s="516"/>
      <c r="H1027" s="517"/>
      <c r="I1027" s="516"/>
      <c r="J1027" s="516"/>
      <c r="K1027" s="515"/>
      <c r="L1027" s="515"/>
      <c r="M1027" s="514"/>
    </row>
    <row r="1028" spans="1:13">
      <c r="A1028" s="516"/>
      <c r="B1028" s="517"/>
      <c r="C1028" s="519"/>
      <c r="D1028" s="519"/>
      <c r="E1028" s="519"/>
      <c r="F1028" s="518"/>
      <c r="G1028" s="516"/>
      <c r="H1028" s="517"/>
      <c r="I1028" s="516"/>
      <c r="J1028" s="516"/>
      <c r="K1028" s="515"/>
      <c r="L1028" s="515"/>
      <c r="M1028" s="514"/>
    </row>
    <row r="1029" spans="1:13">
      <c r="A1029" s="516"/>
      <c r="B1029" s="517"/>
      <c r="C1029" s="519"/>
      <c r="D1029" s="519"/>
      <c r="E1029" s="519"/>
      <c r="F1029" s="518"/>
      <c r="G1029" s="516"/>
      <c r="H1029" s="517"/>
      <c r="I1029" s="516"/>
      <c r="J1029" s="516"/>
      <c r="K1029" s="515"/>
      <c r="L1029" s="515"/>
      <c r="M1029" s="514"/>
    </row>
    <row r="1030" spans="1:13">
      <c r="A1030" s="516"/>
      <c r="B1030" s="517"/>
      <c r="C1030" s="519"/>
      <c r="D1030" s="519"/>
      <c r="E1030" s="519"/>
      <c r="F1030" s="518"/>
      <c r="G1030" s="516"/>
      <c r="H1030" s="517"/>
      <c r="I1030" s="516"/>
      <c r="J1030" s="516"/>
      <c r="K1030" s="515"/>
      <c r="L1030" s="515"/>
      <c r="M1030" s="514"/>
    </row>
    <row r="1031" spans="1:13">
      <c r="A1031" s="516"/>
      <c r="B1031" s="517"/>
      <c r="C1031" s="519"/>
      <c r="D1031" s="519"/>
      <c r="E1031" s="519"/>
      <c r="F1031" s="518"/>
      <c r="G1031" s="516"/>
      <c r="H1031" s="517"/>
      <c r="I1031" s="516"/>
      <c r="J1031" s="516"/>
      <c r="K1031" s="515"/>
      <c r="L1031" s="515"/>
      <c r="M1031" s="514"/>
    </row>
    <row r="1032" spans="1:13">
      <c r="A1032" s="516"/>
      <c r="B1032" s="517"/>
      <c r="C1032" s="519"/>
      <c r="D1032" s="519"/>
      <c r="E1032" s="519"/>
      <c r="F1032" s="518"/>
      <c r="G1032" s="516"/>
      <c r="H1032" s="517"/>
      <c r="I1032" s="516"/>
      <c r="J1032" s="516"/>
      <c r="K1032" s="515"/>
      <c r="L1032" s="515"/>
      <c r="M1032" s="514"/>
    </row>
    <row r="1033" spans="1:13">
      <c r="A1033" s="516"/>
      <c r="B1033" s="517"/>
      <c r="C1033" s="519"/>
      <c r="D1033" s="519"/>
      <c r="E1033" s="519"/>
      <c r="F1033" s="518"/>
      <c r="G1033" s="516"/>
      <c r="H1033" s="517"/>
      <c r="I1033" s="516"/>
      <c r="J1033" s="516"/>
      <c r="K1033" s="515"/>
      <c r="L1033" s="515"/>
      <c r="M1033" s="514"/>
    </row>
    <row r="1034" spans="1:13">
      <c r="A1034" s="516"/>
      <c r="B1034" s="517"/>
      <c r="C1034" s="519"/>
      <c r="D1034" s="519"/>
      <c r="E1034" s="519"/>
      <c r="F1034" s="518"/>
      <c r="G1034" s="516"/>
      <c r="H1034" s="517"/>
      <c r="I1034" s="516"/>
      <c r="J1034" s="516"/>
      <c r="K1034" s="515"/>
      <c r="L1034" s="515"/>
      <c r="M1034" s="514"/>
    </row>
    <row r="1035" spans="1:13">
      <c r="A1035" s="516"/>
      <c r="B1035" s="517"/>
      <c r="C1035" s="519"/>
      <c r="D1035" s="519"/>
      <c r="E1035" s="519"/>
      <c r="F1035" s="518"/>
      <c r="G1035" s="516"/>
      <c r="H1035" s="517"/>
      <c r="I1035" s="516"/>
      <c r="J1035" s="516"/>
      <c r="K1035" s="515"/>
      <c r="L1035" s="515"/>
      <c r="M1035" s="514"/>
    </row>
    <row r="1036" spans="1:13">
      <c r="A1036" s="516"/>
      <c r="B1036" s="517"/>
      <c r="C1036" s="519"/>
      <c r="D1036" s="519"/>
      <c r="E1036" s="519"/>
      <c r="F1036" s="518"/>
      <c r="G1036" s="516"/>
      <c r="H1036" s="517"/>
      <c r="I1036" s="516"/>
      <c r="J1036" s="516"/>
      <c r="K1036" s="515"/>
      <c r="L1036" s="515"/>
      <c r="M1036" s="514"/>
    </row>
    <row r="1037" spans="1:13">
      <c r="A1037" s="516"/>
      <c r="B1037" s="517"/>
      <c r="C1037" s="519"/>
      <c r="D1037" s="519"/>
      <c r="E1037" s="519"/>
      <c r="F1037" s="518"/>
      <c r="G1037" s="516"/>
      <c r="H1037" s="517"/>
      <c r="I1037" s="516"/>
      <c r="J1037" s="516"/>
      <c r="K1037" s="515"/>
      <c r="L1037" s="515"/>
      <c r="M1037" s="514"/>
    </row>
    <row r="1038" spans="1:13">
      <c r="A1038" s="516"/>
      <c r="B1038" s="517"/>
      <c r="C1038" s="519"/>
      <c r="D1038" s="519"/>
      <c r="E1038" s="519"/>
      <c r="F1038" s="518"/>
      <c r="G1038" s="516"/>
      <c r="H1038" s="517"/>
      <c r="I1038" s="516"/>
      <c r="J1038" s="516"/>
      <c r="K1038" s="515"/>
      <c r="L1038" s="515"/>
      <c r="M1038" s="514"/>
    </row>
    <row r="1039" spans="1:13">
      <c r="A1039" s="516"/>
      <c r="B1039" s="517"/>
      <c r="C1039" s="519"/>
      <c r="D1039" s="519"/>
      <c r="E1039" s="519"/>
      <c r="F1039" s="518"/>
      <c r="G1039" s="516"/>
      <c r="H1039" s="517"/>
      <c r="I1039" s="516"/>
      <c r="J1039" s="516"/>
      <c r="K1039" s="515"/>
      <c r="L1039" s="515"/>
      <c r="M1039" s="514"/>
    </row>
    <row r="1040" spans="1:13">
      <c r="A1040" s="516"/>
      <c r="B1040" s="517"/>
      <c r="C1040" s="519"/>
      <c r="D1040" s="519"/>
      <c r="E1040" s="519"/>
      <c r="F1040" s="518"/>
      <c r="G1040" s="516"/>
      <c r="H1040" s="517"/>
      <c r="I1040" s="516"/>
      <c r="J1040" s="516"/>
      <c r="K1040" s="515"/>
      <c r="L1040" s="515"/>
      <c r="M1040" s="514"/>
    </row>
    <row r="1041" spans="1:13">
      <c r="A1041" s="516"/>
      <c r="B1041" s="517"/>
      <c r="C1041" s="519"/>
      <c r="D1041" s="519"/>
      <c r="E1041" s="519"/>
      <c r="F1041" s="518"/>
      <c r="G1041" s="516"/>
      <c r="H1041" s="517"/>
      <c r="I1041" s="516"/>
      <c r="J1041" s="516"/>
      <c r="K1041" s="515"/>
      <c r="L1041" s="515"/>
      <c r="M1041" s="514"/>
    </row>
    <row r="1042" spans="1:13">
      <c r="A1042" s="516"/>
      <c r="B1042" s="517"/>
      <c r="C1042" s="519"/>
      <c r="D1042" s="519"/>
      <c r="E1042" s="519"/>
      <c r="F1042" s="518"/>
      <c r="G1042" s="516"/>
      <c r="H1042" s="517"/>
      <c r="I1042" s="516"/>
      <c r="J1042" s="516"/>
      <c r="K1042" s="515"/>
      <c r="L1042" s="515"/>
      <c r="M1042" s="514"/>
    </row>
    <row r="1043" spans="1:13">
      <c r="A1043" s="516"/>
      <c r="B1043" s="517"/>
      <c r="C1043" s="519"/>
      <c r="D1043" s="519"/>
      <c r="E1043" s="519"/>
      <c r="F1043" s="518"/>
      <c r="G1043" s="516"/>
      <c r="H1043" s="517"/>
      <c r="I1043" s="516"/>
      <c r="J1043" s="516"/>
      <c r="K1043" s="515"/>
      <c r="L1043" s="515"/>
      <c r="M1043" s="514"/>
    </row>
    <row r="1044" spans="1:13">
      <c r="A1044" s="516"/>
      <c r="B1044" s="517"/>
      <c r="C1044" s="519"/>
      <c r="D1044" s="519"/>
      <c r="E1044" s="519"/>
      <c r="F1044" s="518"/>
      <c r="G1044" s="516"/>
      <c r="H1044" s="517"/>
      <c r="I1044" s="516"/>
      <c r="J1044" s="516"/>
      <c r="K1044" s="515"/>
      <c r="L1044" s="515"/>
      <c r="M1044" s="514"/>
    </row>
    <row r="1045" spans="1:13">
      <c r="A1045" s="516"/>
      <c r="B1045" s="517"/>
      <c r="C1045" s="519"/>
      <c r="D1045" s="519"/>
      <c r="E1045" s="519"/>
      <c r="F1045" s="518"/>
      <c r="G1045" s="516"/>
      <c r="H1045" s="517"/>
      <c r="I1045" s="516"/>
      <c r="J1045" s="516"/>
      <c r="K1045" s="515"/>
      <c r="L1045" s="515"/>
      <c r="M1045" s="514"/>
    </row>
    <row r="1046" spans="1:13">
      <c r="A1046" s="516"/>
      <c r="B1046" s="517"/>
      <c r="C1046" s="519"/>
      <c r="D1046" s="519"/>
      <c r="E1046" s="519"/>
      <c r="F1046" s="518"/>
      <c r="G1046" s="516"/>
      <c r="H1046" s="517"/>
      <c r="I1046" s="516"/>
      <c r="J1046" s="516"/>
      <c r="K1046" s="515"/>
      <c r="L1046" s="515"/>
      <c r="M1046" s="514"/>
    </row>
    <row r="1047" spans="1:13">
      <c r="A1047" s="516"/>
      <c r="B1047" s="517"/>
      <c r="C1047" s="519"/>
      <c r="D1047" s="519"/>
      <c r="E1047" s="519"/>
      <c r="F1047" s="518"/>
      <c r="G1047" s="516"/>
      <c r="H1047" s="517"/>
      <c r="I1047" s="516"/>
      <c r="J1047" s="516"/>
      <c r="K1047" s="515"/>
      <c r="L1047" s="515"/>
      <c r="M1047" s="514"/>
    </row>
    <row r="1048" spans="1:13">
      <c r="A1048" s="516"/>
      <c r="B1048" s="517"/>
      <c r="C1048" s="519"/>
      <c r="D1048" s="519"/>
      <c r="E1048" s="519"/>
      <c r="F1048" s="518"/>
      <c r="G1048" s="516"/>
      <c r="H1048" s="517"/>
      <c r="I1048" s="516"/>
      <c r="J1048" s="516"/>
      <c r="K1048" s="515"/>
      <c r="L1048" s="515"/>
      <c r="M1048" s="514"/>
    </row>
    <row r="1049" spans="1:13">
      <c r="A1049" s="516"/>
      <c r="B1049" s="517"/>
      <c r="C1049" s="519"/>
      <c r="D1049" s="519"/>
      <c r="E1049" s="519"/>
      <c r="F1049" s="518"/>
      <c r="G1049" s="516"/>
      <c r="H1049" s="517"/>
      <c r="I1049" s="516"/>
      <c r="J1049" s="516"/>
      <c r="K1049" s="515"/>
      <c r="L1049" s="515"/>
      <c r="M1049" s="514"/>
    </row>
    <row r="1050" spans="1:13">
      <c r="A1050" s="516"/>
      <c r="B1050" s="517"/>
      <c r="C1050" s="519"/>
      <c r="D1050" s="519"/>
      <c r="E1050" s="519"/>
      <c r="F1050" s="518"/>
      <c r="G1050" s="516"/>
      <c r="H1050" s="517"/>
      <c r="I1050" s="516"/>
      <c r="J1050" s="516"/>
      <c r="K1050" s="515"/>
      <c r="L1050" s="515"/>
      <c r="M1050" s="514"/>
    </row>
    <row r="1051" spans="1:13">
      <c r="A1051" s="516"/>
      <c r="B1051" s="517"/>
      <c r="C1051" s="519"/>
      <c r="D1051" s="519"/>
      <c r="E1051" s="519"/>
      <c r="F1051" s="518"/>
      <c r="G1051" s="516"/>
      <c r="H1051" s="517"/>
      <c r="I1051" s="516"/>
      <c r="J1051" s="516"/>
      <c r="K1051" s="515"/>
      <c r="L1051" s="515"/>
      <c r="M1051" s="514"/>
    </row>
    <row r="1052" spans="1:13">
      <c r="A1052" s="516"/>
      <c r="B1052" s="517"/>
      <c r="C1052" s="519"/>
      <c r="D1052" s="519"/>
      <c r="E1052" s="519"/>
      <c r="F1052" s="518"/>
      <c r="G1052" s="516"/>
      <c r="H1052" s="517"/>
      <c r="I1052" s="516"/>
      <c r="J1052" s="516"/>
      <c r="K1052" s="515"/>
      <c r="L1052" s="515"/>
      <c r="M1052" s="514"/>
    </row>
    <row r="1053" spans="1:13">
      <c r="A1053" s="516"/>
      <c r="B1053" s="517"/>
      <c r="C1053" s="519"/>
      <c r="D1053" s="519"/>
      <c r="E1053" s="519"/>
      <c r="F1053" s="518"/>
      <c r="G1053" s="516"/>
      <c r="H1053" s="517"/>
      <c r="I1053" s="516"/>
      <c r="J1053" s="516"/>
      <c r="K1053" s="515"/>
      <c r="L1053" s="515"/>
      <c r="M1053" s="514"/>
    </row>
    <row r="1054" spans="1:13">
      <c r="A1054" s="516"/>
      <c r="B1054" s="517"/>
      <c r="C1054" s="519"/>
      <c r="D1054" s="519"/>
      <c r="E1054" s="519"/>
      <c r="F1054" s="518"/>
      <c r="G1054" s="516"/>
      <c r="H1054" s="517"/>
      <c r="I1054" s="516"/>
      <c r="J1054" s="516"/>
      <c r="K1054" s="515"/>
      <c r="L1054" s="515"/>
      <c r="M1054" s="514"/>
    </row>
    <row r="1055" spans="1:13">
      <c r="A1055" s="516"/>
      <c r="B1055" s="517"/>
      <c r="C1055" s="519"/>
      <c r="D1055" s="519"/>
      <c r="E1055" s="519"/>
      <c r="F1055" s="518"/>
      <c r="G1055" s="516"/>
      <c r="H1055" s="517"/>
      <c r="I1055" s="516"/>
      <c r="J1055" s="516"/>
      <c r="K1055" s="515"/>
      <c r="L1055" s="515"/>
      <c r="M1055" s="514"/>
    </row>
    <row r="1056" spans="1:13">
      <c r="A1056" s="516"/>
      <c r="B1056" s="517"/>
      <c r="C1056" s="519"/>
      <c r="D1056" s="519"/>
      <c r="E1056" s="519"/>
      <c r="F1056" s="518"/>
      <c r="G1056" s="516"/>
      <c r="H1056" s="517"/>
      <c r="I1056" s="516"/>
      <c r="J1056" s="516"/>
      <c r="K1056" s="515"/>
      <c r="L1056" s="515"/>
      <c r="M1056" s="514"/>
    </row>
    <row r="1057" spans="1:13">
      <c r="A1057" s="516"/>
      <c r="B1057" s="517"/>
      <c r="C1057" s="519"/>
      <c r="D1057" s="519"/>
      <c r="E1057" s="519"/>
      <c r="F1057" s="518"/>
      <c r="G1057" s="516"/>
      <c r="H1057" s="517"/>
      <c r="I1057" s="516"/>
      <c r="J1057" s="516"/>
      <c r="K1057" s="515"/>
      <c r="L1057" s="515"/>
      <c r="M1057" s="514"/>
    </row>
    <row r="1058" spans="1:13">
      <c r="A1058" s="516"/>
      <c r="B1058" s="517"/>
      <c r="C1058" s="519"/>
      <c r="D1058" s="519"/>
      <c r="E1058" s="519"/>
      <c r="F1058" s="518"/>
      <c r="G1058" s="516"/>
      <c r="H1058" s="517"/>
      <c r="I1058" s="516"/>
      <c r="J1058" s="516"/>
      <c r="K1058" s="515"/>
      <c r="L1058" s="515"/>
      <c r="M1058" s="514"/>
    </row>
    <row r="1059" spans="1:13">
      <c r="A1059" s="516"/>
      <c r="B1059" s="517"/>
      <c r="C1059" s="519"/>
      <c r="D1059" s="519"/>
      <c r="E1059" s="519"/>
      <c r="F1059" s="518"/>
      <c r="G1059" s="516"/>
      <c r="H1059" s="517"/>
      <c r="I1059" s="516"/>
      <c r="J1059" s="516"/>
      <c r="K1059" s="515"/>
      <c r="L1059" s="515"/>
      <c r="M1059" s="514"/>
    </row>
    <row r="1060" spans="1:13">
      <c r="A1060" s="516"/>
      <c r="B1060" s="517"/>
      <c r="C1060" s="519"/>
      <c r="D1060" s="519"/>
      <c r="E1060" s="519"/>
      <c r="F1060" s="518"/>
      <c r="G1060" s="516"/>
      <c r="H1060" s="517"/>
      <c r="I1060" s="516"/>
      <c r="J1060" s="516"/>
      <c r="K1060" s="515"/>
      <c r="L1060" s="515"/>
      <c r="M1060" s="514"/>
    </row>
    <row r="1061" spans="1:13">
      <c r="A1061" s="516"/>
      <c r="B1061" s="517"/>
      <c r="C1061" s="519"/>
      <c r="D1061" s="519"/>
      <c r="E1061" s="519"/>
      <c r="F1061" s="518"/>
      <c r="G1061" s="516"/>
      <c r="H1061" s="517"/>
      <c r="I1061" s="516"/>
      <c r="J1061" s="516"/>
      <c r="K1061" s="515"/>
      <c r="L1061" s="515"/>
      <c r="M1061" s="514"/>
    </row>
    <row r="1062" spans="1:13">
      <c r="A1062" s="516"/>
      <c r="B1062" s="517"/>
      <c r="C1062" s="519"/>
      <c r="D1062" s="519"/>
      <c r="E1062" s="519"/>
      <c r="F1062" s="518"/>
      <c r="G1062" s="516"/>
      <c r="H1062" s="517"/>
      <c r="I1062" s="516"/>
      <c r="J1062" s="516"/>
      <c r="K1062" s="515"/>
      <c r="L1062" s="515"/>
      <c r="M1062" s="514"/>
    </row>
    <row r="1063" spans="1:13">
      <c r="A1063" s="516"/>
      <c r="B1063" s="517"/>
      <c r="C1063" s="519"/>
      <c r="D1063" s="519"/>
      <c r="E1063" s="519"/>
      <c r="F1063" s="518"/>
      <c r="G1063" s="516"/>
      <c r="H1063" s="517"/>
      <c r="I1063" s="516"/>
      <c r="J1063" s="516"/>
      <c r="K1063" s="515"/>
      <c r="L1063" s="515"/>
      <c r="M1063" s="514"/>
    </row>
    <row r="1064" spans="1:13">
      <c r="A1064" s="516"/>
      <c r="B1064" s="517"/>
      <c r="C1064" s="519"/>
      <c r="D1064" s="519"/>
      <c r="E1064" s="519"/>
      <c r="F1064" s="518"/>
      <c r="G1064" s="516"/>
      <c r="H1064" s="517"/>
      <c r="I1064" s="516"/>
      <c r="J1064" s="516"/>
      <c r="K1064" s="515"/>
      <c r="L1064" s="515"/>
      <c r="M1064" s="514"/>
    </row>
    <row r="1065" spans="1:13">
      <c r="A1065" s="516"/>
      <c r="B1065" s="517"/>
      <c r="C1065" s="519"/>
      <c r="D1065" s="519"/>
      <c r="E1065" s="519"/>
      <c r="F1065" s="518"/>
      <c r="G1065" s="516"/>
      <c r="H1065" s="517"/>
      <c r="I1065" s="516"/>
      <c r="J1065" s="516"/>
      <c r="K1065" s="515"/>
      <c r="L1065" s="515"/>
      <c r="M1065" s="514"/>
    </row>
    <row r="1066" spans="1:13">
      <c r="A1066" s="516"/>
      <c r="B1066" s="517"/>
      <c r="C1066" s="519"/>
      <c r="D1066" s="519"/>
      <c r="E1066" s="519"/>
      <c r="F1066" s="518"/>
      <c r="G1066" s="516"/>
      <c r="H1066" s="517"/>
      <c r="I1066" s="516"/>
      <c r="J1066" s="516"/>
      <c r="K1066" s="515"/>
      <c r="L1066" s="515"/>
      <c r="M1066" s="514"/>
    </row>
    <row r="1067" spans="1:13">
      <c r="A1067" s="516"/>
      <c r="B1067" s="517"/>
      <c r="C1067" s="519"/>
      <c r="D1067" s="519"/>
      <c r="E1067" s="519"/>
      <c r="F1067" s="518"/>
      <c r="G1067" s="516"/>
      <c r="H1067" s="517"/>
      <c r="I1067" s="516"/>
      <c r="J1067" s="516"/>
      <c r="K1067" s="515"/>
      <c r="L1067" s="515"/>
      <c r="M1067" s="514"/>
    </row>
    <row r="1068" spans="1:13">
      <c r="A1068" s="516"/>
      <c r="B1068" s="517"/>
      <c r="C1068" s="519"/>
      <c r="D1068" s="519"/>
      <c r="E1068" s="519"/>
      <c r="F1068" s="518"/>
      <c r="G1068" s="516"/>
      <c r="H1068" s="517"/>
      <c r="I1068" s="516"/>
      <c r="J1068" s="516"/>
      <c r="K1068" s="515"/>
      <c r="L1068" s="515"/>
      <c r="M1068" s="514"/>
    </row>
    <row r="1069" spans="1:13">
      <c r="A1069" s="516"/>
      <c r="B1069" s="517"/>
      <c r="C1069" s="519"/>
      <c r="D1069" s="519"/>
      <c r="E1069" s="519"/>
      <c r="F1069" s="518"/>
      <c r="G1069" s="516"/>
      <c r="H1069" s="517"/>
      <c r="I1069" s="516"/>
      <c r="J1069" s="516"/>
      <c r="K1069" s="515"/>
      <c r="L1069" s="515"/>
      <c r="M1069" s="514"/>
    </row>
    <row r="1070" spans="1:13">
      <c r="A1070" s="516"/>
      <c r="B1070" s="517"/>
      <c r="C1070" s="519"/>
      <c r="D1070" s="519"/>
      <c r="E1070" s="519"/>
      <c r="F1070" s="518"/>
      <c r="G1070" s="516"/>
      <c r="H1070" s="517"/>
      <c r="I1070" s="516"/>
      <c r="J1070" s="516"/>
      <c r="K1070" s="515"/>
      <c r="L1070" s="515"/>
      <c r="M1070" s="514"/>
    </row>
    <row r="1071" spans="1:13">
      <c r="A1071" s="516"/>
      <c r="B1071" s="517"/>
      <c r="C1071" s="519"/>
      <c r="D1071" s="519"/>
      <c r="E1071" s="519"/>
      <c r="F1071" s="518"/>
      <c r="G1071" s="516"/>
      <c r="H1071" s="517"/>
      <c r="I1071" s="516"/>
      <c r="J1071" s="516"/>
      <c r="K1071" s="515"/>
      <c r="L1071" s="515"/>
      <c r="M1071" s="514"/>
    </row>
    <row r="1072" spans="1:13">
      <c r="A1072" s="516"/>
      <c r="B1072" s="517"/>
      <c r="C1072" s="519"/>
      <c r="D1072" s="519"/>
      <c r="E1072" s="519"/>
      <c r="F1072" s="518"/>
      <c r="G1072" s="516"/>
      <c r="H1072" s="517"/>
      <c r="I1072" s="516"/>
      <c r="J1072" s="516"/>
      <c r="K1072" s="515"/>
      <c r="L1072" s="515"/>
      <c r="M1072" s="514"/>
    </row>
    <row r="1073" spans="1:13">
      <c r="A1073" s="516"/>
      <c r="B1073" s="517"/>
      <c r="C1073" s="519"/>
      <c r="D1073" s="519"/>
      <c r="E1073" s="519"/>
      <c r="F1073" s="518"/>
      <c r="G1073" s="516"/>
      <c r="H1073" s="517"/>
      <c r="I1073" s="516"/>
      <c r="J1073" s="516"/>
      <c r="K1073" s="515"/>
      <c r="L1073" s="515"/>
      <c r="M1073" s="514"/>
    </row>
    <row r="1074" spans="1:13">
      <c r="A1074" s="516"/>
      <c r="B1074" s="517"/>
      <c r="C1074" s="519"/>
      <c r="D1074" s="519"/>
      <c r="E1074" s="519"/>
      <c r="F1074" s="518"/>
      <c r="G1074" s="516"/>
      <c r="H1074" s="517"/>
      <c r="I1074" s="516"/>
      <c r="J1074" s="516"/>
      <c r="K1074" s="515"/>
      <c r="L1074" s="515"/>
      <c r="M1074" s="514"/>
    </row>
    <row r="1075" spans="1:13">
      <c r="A1075" s="516"/>
      <c r="B1075" s="517"/>
      <c r="C1075" s="519"/>
      <c r="D1075" s="519"/>
      <c r="E1075" s="519"/>
      <c r="F1075" s="518"/>
      <c r="G1075" s="516"/>
      <c r="H1075" s="517"/>
      <c r="I1075" s="516"/>
      <c r="J1075" s="516"/>
      <c r="K1075" s="515"/>
      <c r="L1075" s="515"/>
      <c r="M1075" s="514"/>
    </row>
    <row r="1076" spans="1:13">
      <c r="A1076" s="516"/>
      <c r="B1076" s="517"/>
      <c r="C1076" s="519"/>
      <c r="D1076" s="519"/>
      <c r="E1076" s="519"/>
      <c r="F1076" s="518"/>
      <c r="G1076" s="516"/>
      <c r="H1076" s="517"/>
      <c r="I1076" s="516"/>
      <c r="J1076" s="516"/>
      <c r="K1076" s="515"/>
      <c r="L1076" s="515"/>
      <c r="M1076" s="514"/>
    </row>
    <row r="1077" spans="1:13">
      <c r="A1077" s="516"/>
      <c r="B1077" s="517"/>
      <c r="C1077" s="519"/>
      <c r="D1077" s="519"/>
      <c r="E1077" s="519"/>
      <c r="F1077" s="518"/>
      <c r="G1077" s="516"/>
      <c r="H1077" s="517"/>
      <c r="I1077" s="516"/>
      <c r="J1077" s="516"/>
      <c r="K1077" s="515"/>
      <c r="L1077" s="515"/>
      <c r="M1077" s="514"/>
    </row>
    <row r="1078" spans="1:13">
      <c r="A1078" s="516"/>
      <c r="B1078" s="517"/>
      <c r="C1078" s="519"/>
      <c r="D1078" s="519"/>
      <c r="E1078" s="519"/>
      <c r="F1078" s="518"/>
      <c r="G1078" s="516"/>
      <c r="H1078" s="517"/>
      <c r="I1078" s="516"/>
      <c r="J1078" s="516"/>
      <c r="K1078" s="515"/>
      <c r="L1078" s="515"/>
      <c r="M1078" s="514"/>
    </row>
    <row r="1079" spans="1:13">
      <c r="A1079" s="516"/>
      <c r="B1079" s="517"/>
      <c r="C1079" s="519"/>
      <c r="D1079" s="519"/>
      <c r="E1079" s="519"/>
      <c r="F1079" s="518"/>
      <c r="G1079" s="516"/>
      <c r="H1079" s="517"/>
      <c r="I1079" s="516"/>
      <c r="J1079" s="516"/>
      <c r="K1079" s="515"/>
      <c r="L1079" s="515"/>
      <c r="M1079" s="514"/>
    </row>
    <row r="1080" spans="1:13">
      <c r="A1080" s="516"/>
      <c r="B1080" s="517"/>
      <c r="C1080" s="519"/>
      <c r="D1080" s="519"/>
      <c r="E1080" s="519"/>
      <c r="F1080" s="518"/>
      <c r="G1080" s="516"/>
      <c r="H1080" s="517"/>
      <c r="I1080" s="516"/>
      <c r="J1080" s="516"/>
      <c r="K1080" s="515"/>
      <c r="L1080" s="515"/>
      <c r="M1080" s="514"/>
    </row>
    <row r="1081" spans="1:13">
      <c r="A1081" s="516"/>
      <c r="B1081" s="517"/>
      <c r="C1081" s="519"/>
      <c r="D1081" s="519"/>
      <c r="E1081" s="519"/>
      <c r="F1081" s="518"/>
      <c r="G1081" s="516"/>
      <c r="H1081" s="517"/>
      <c r="I1081" s="516"/>
      <c r="J1081" s="516"/>
      <c r="K1081" s="515"/>
      <c r="L1081" s="515"/>
      <c r="M1081" s="514"/>
    </row>
    <row r="1082" spans="1:13">
      <c r="A1082" s="516"/>
      <c r="B1082" s="517"/>
      <c r="C1082" s="519"/>
      <c r="D1082" s="519"/>
      <c r="E1082" s="519"/>
      <c r="F1082" s="518"/>
      <c r="G1082" s="516"/>
      <c r="H1082" s="517"/>
      <c r="I1082" s="516"/>
      <c r="J1082" s="516"/>
      <c r="K1082" s="515"/>
      <c r="L1082" s="515"/>
      <c r="M1082" s="514"/>
    </row>
    <row r="1083" spans="1:13">
      <c r="A1083" s="516"/>
      <c r="B1083" s="517"/>
      <c r="C1083" s="519"/>
      <c r="D1083" s="519"/>
      <c r="E1083" s="519"/>
      <c r="F1083" s="518"/>
      <c r="G1083" s="516"/>
      <c r="H1083" s="517"/>
      <c r="I1083" s="516"/>
      <c r="J1083" s="516"/>
      <c r="K1083" s="515"/>
      <c r="L1083" s="515"/>
      <c r="M1083" s="514"/>
    </row>
    <row r="1084" spans="1:13">
      <c r="A1084" s="516"/>
      <c r="B1084" s="517"/>
      <c r="C1084" s="519"/>
      <c r="D1084" s="519"/>
      <c r="E1084" s="519"/>
      <c r="F1084" s="518"/>
      <c r="G1084" s="516"/>
      <c r="H1084" s="517"/>
      <c r="I1084" s="516"/>
      <c r="J1084" s="516"/>
      <c r="K1084" s="515"/>
      <c r="L1084" s="515"/>
      <c r="M1084" s="514"/>
    </row>
    <row r="1085" spans="1:13">
      <c r="A1085" s="516"/>
      <c r="B1085" s="517"/>
      <c r="C1085" s="519"/>
      <c r="D1085" s="519"/>
      <c r="E1085" s="519"/>
      <c r="F1085" s="518"/>
      <c r="G1085" s="516"/>
      <c r="H1085" s="517"/>
      <c r="I1085" s="516"/>
      <c r="J1085" s="516"/>
      <c r="K1085" s="515"/>
      <c r="L1085" s="515"/>
      <c r="M1085" s="514"/>
    </row>
    <row r="1086" spans="1:13">
      <c r="A1086" s="516"/>
      <c r="B1086" s="517"/>
      <c r="C1086" s="519"/>
      <c r="D1086" s="519"/>
      <c r="E1086" s="519"/>
      <c r="F1086" s="518"/>
      <c r="G1086" s="516"/>
      <c r="H1086" s="517"/>
      <c r="I1086" s="516"/>
      <c r="J1086" s="516"/>
      <c r="K1086" s="515"/>
      <c r="L1086" s="515"/>
      <c r="M1086" s="514"/>
    </row>
    <row r="1087" spans="1:13">
      <c r="A1087" s="516"/>
      <c r="B1087" s="517"/>
      <c r="C1087" s="519"/>
      <c r="D1087" s="519"/>
      <c r="E1087" s="519"/>
      <c r="F1087" s="518"/>
      <c r="G1087" s="516"/>
      <c r="H1087" s="517"/>
      <c r="I1087" s="516"/>
      <c r="J1087" s="516"/>
      <c r="K1087" s="515"/>
      <c r="L1087" s="515"/>
      <c r="M1087" s="514"/>
    </row>
    <row r="1088" spans="1:13">
      <c r="A1088" s="516"/>
      <c r="B1088" s="517"/>
      <c r="C1088" s="519"/>
      <c r="D1088" s="519"/>
      <c r="E1088" s="519"/>
      <c r="F1088" s="518"/>
      <c r="G1088" s="516"/>
      <c r="H1088" s="517"/>
      <c r="I1088" s="516"/>
      <c r="J1088" s="516"/>
      <c r="K1088" s="515"/>
      <c r="L1088" s="515"/>
      <c r="M1088" s="514"/>
    </row>
    <row r="1089" spans="1:13">
      <c r="A1089" s="516"/>
      <c r="B1089" s="517"/>
      <c r="C1089" s="519"/>
      <c r="D1089" s="519"/>
      <c r="E1089" s="519"/>
      <c r="F1089" s="518"/>
      <c r="G1089" s="516"/>
      <c r="H1089" s="517"/>
      <c r="I1089" s="516"/>
      <c r="J1089" s="516"/>
      <c r="K1089" s="515"/>
      <c r="L1089" s="515"/>
      <c r="M1089" s="514"/>
    </row>
    <row r="1090" spans="1:13">
      <c r="A1090" s="516"/>
      <c r="B1090" s="517"/>
      <c r="C1090" s="519"/>
      <c r="D1090" s="519"/>
      <c r="E1090" s="519"/>
      <c r="F1090" s="518"/>
      <c r="G1090" s="516"/>
      <c r="H1090" s="517"/>
      <c r="I1090" s="516"/>
      <c r="J1090" s="516"/>
      <c r="K1090" s="515"/>
      <c r="L1090" s="515"/>
      <c r="M1090" s="514"/>
    </row>
    <row r="1091" spans="1:13">
      <c r="A1091" s="516"/>
      <c r="B1091" s="517"/>
      <c r="C1091" s="519"/>
      <c r="D1091" s="519"/>
      <c r="E1091" s="519"/>
      <c r="F1091" s="518"/>
      <c r="G1091" s="516"/>
      <c r="H1091" s="517"/>
      <c r="I1091" s="516"/>
      <c r="J1091" s="516"/>
      <c r="K1091" s="515"/>
      <c r="L1091" s="515"/>
      <c r="M1091" s="514"/>
    </row>
    <row r="1092" spans="1:13">
      <c r="A1092" s="516"/>
      <c r="B1092" s="517"/>
      <c r="C1092" s="519"/>
      <c r="D1092" s="519"/>
      <c r="E1092" s="519"/>
      <c r="F1092" s="518"/>
      <c r="G1092" s="516"/>
      <c r="H1092" s="517"/>
      <c r="I1092" s="516"/>
      <c r="J1092" s="516"/>
      <c r="K1092" s="515"/>
      <c r="L1092" s="515"/>
      <c r="M1092" s="514"/>
    </row>
    <row r="1093" spans="1:13">
      <c r="A1093" s="516"/>
      <c r="B1093" s="517"/>
      <c r="C1093" s="519"/>
      <c r="D1093" s="519"/>
      <c r="E1093" s="519"/>
      <c r="F1093" s="518"/>
      <c r="G1093" s="516"/>
      <c r="H1093" s="517"/>
      <c r="I1093" s="516"/>
      <c r="J1093" s="516"/>
      <c r="K1093" s="515"/>
      <c r="L1093" s="515"/>
      <c r="M1093" s="514"/>
    </row>
    <row r="1094" spans="1:13">
      <c r="A1094" s="516"/>
      <c r="B1094" s="517"/>
      <c r="C1094" s="519"/>
      <c r="D1094" s="519"/>
      <c r="E1094" s="519"/>
      <c r="F1094" s="518"/>
      <c r="G1094" s="516"/>
      <c r="H1094" s="517"/>
      <c r="I1094" s="516"/>
      <c r="J1094" s="516"/>
      <c r="K1094" s="515"/>
      <c r="L1094" s="515"/>
      <c r="M1094" s="514"/>
    </row>
    <row r="1095" spans="1:13">
      <c r="A1095" s="516"/>
      <c r="B1095" s="517"/>
      <c r="C1095" s="519"/>
      <c r="D1095" s="519"/>
      <c r="E1095" s="519"/>
      <c r="F1095" s="518"/>
      <c r="G1095" s="516"/>
      <c r="H1095" s="517"/>
      <c r="I1095" s="516"/>
      <c r="J1095" s="516"/>
      <c r="K1095" s="515"/>
      <c r="L1095" s="515"/>
      <c r="M1095" s="514"/>
    </row>
    <row r="1096" spans="1:13">
      <c r="A1096" s="516"/>
      <c r="B1096" s="517"/>
      <c r="C1096" s="519"/>
      <c r="D1096" s="519"/>
      <c r="E1096" s="519"/>
      <c r="F1096" s="518"/>
      <c r="G1096" s="516"/>
      <c r="H1096" s="517"/>
      <c r="I1096" s="516"/>
      <c r="J1096" s="516"/>
      <c r="K1096" s="515"/>
      <c r="L1096" s="515"/>
      <c r="M1096" s="514"/>
    </row>
    <row r="1097" spans="1:13">
      <c r="A1097" s="516"/>
      <c r="B1097" s="517"/>
      <c r="C1097" s="519"/>
      <c r="D1097" s="519"/>
      <c r="E1097" s="519"/>
      <c r="F1097" s="518"/>
      <c r="G1097" s="516"/>
      <c r="H1097" s="517"/>
      <c r="I1097" s="516"/>
      <c r="J1097" s="516"/>
      <c r="K1097" s="515"/>
      <c r="L1097" s="515"/>
      <c r="M1097" s="514"/>
    </row>
    <row r="1098" spans="1:13">
      <c r="A1098" s="516"/>
      <c r="B1098" s="517"/>
      <c r="C1098" s="519"/>
      <c r="D1098" s="519"/>
      <c r="E1098" s="519"/>
      <c r="F1098" s="518"/>
      <c r="G1098" s="516"/>
      <c r="H1098" s="517"/>
      <c r="I1098" s="516"/>
      <c r="J1098" s="516"/>
      <c r="K1098" s="515"/>
      <c r="L1098" s="515"/>
      <c r="M1098" s="514"/>
    </row>
    <row r="1099" spans="1:13">
      <c r="A1099" s="516"/>
      <c r="B1099" s="517"/>
      <c r="C1099" s="519"/>
      <c r="D1099" s="519"/>
      <c r="E1099" s="519"/>
      <c r="F1099" s="518"/>
      <c r="G1099" s="516"/>
      <c r="H1099" s="517"/>
      <c r="I1099" s="516"/>
      <c r="J1099" s="516"/>
      <c r="K1099" s="515"/>
      <c r="L1099" s="515"/>
      <c r="M1099" s="514"/>
    </row>
    <row r="1100" spans="1:13">
      <c r="A1100" s="516"/>
      <c r="B1100" s="517"/>
      <c r="C1100" s="519"/>
      <c r="D1100" s="519"/>
      <c r="E1100" s="519"/>
      <c r="F1100" s="518"/>
      <c r="G1100" s="516"/>
      <c r="H1100" s="517"/>
      <c r="I1100" s="516"/>
      <c r="J1100" s="516"/>
      <c r="K1100" s="515"/>
      <c r="L1100" s="515"/>
      <c r="M1100" s="514"/>
    </row>
    <row r="1101" spans="1:13">
      <c r="A1101" s="516"/>
      <c r="B1101" s="517"/>
      <c r="C1101" s="519"/>
      <c r="D1101" s="519"/>
      <c r="E1101" s="519"/>
      <c r="F1101" s="518"/>
      <c r="G1101" s="516"/>
      <c r="H1101" s="517"/>
      <c r="I1101" s="516"/>
      <c r="J1101" s="516"/>
      <c r="K1101" s="515"/>
      <c r="L1101" s="515"/>
      <c r="M1101" s="514"/>
    </row>
    <row r="1102" spans="1:13">
      <c r="A1102" s="516"/>
      <c r="B1102" s="517"/>
      <c r="C1102" s="519"/>
      <c r="D1102" s="519"/>
      <c r="E1102" s="519"/>
      <c r="F1102" s="518"/>
      <c r="G1102" s="516"/>
      <c r="H1102" s="517"/>
      <c r="I1102" s="516"/>
      <c r="J1102" s="516"/>
      <c r="K1102" s="515"/>
      <c r="L1102" s="515"/>
      <c r="M1102" s="514"/>
    </row>
    <row r="1103" spans="1:13">
      <c r="A1103" s="516"/>
      <c r="B1103" s="517"/>
      <c r="C1103" s="519"/>
      <c r="D1103" s="519"/>
      <c r="E1103" s="519"/>
      <c r="F1103" s="518"/>
      <c r="G1103" s="516"/>
      <c r="H1103" s="517"/>
      <c r="I1103" s="516"/>
      <c r="J1103" s="516"/>
      <c r="K1103" s="515"/>
      <c r="L1103" s="515"/>
      <c r="M1103" s="514"/>
    </row>
    <row r="1104" spans="1:13">
      <c r="A1104" s="516"/>
      <c r="B1104" s="517"/>
      <c r="C1104" s="519"/>
      <c r="D1104" s="519"/>
      <c r="E1104" s="519"/>
      <c r="F1104" s="518"/>
      <c r="G1104" s="516"/>
      <c r="H1104" s="517"/>
      <c r="I1104" s="516"/>
      <c r="J1104" s="516"/>
      <c r="K1104" s="515"/>
      <c r="L1104" s="515"/>
      <c r="M1104" s="514"/>
    </row>
    <row r="1105" spans="1:13">
      <c r="A1105" s="516"/>
      <c r="B1105" s="517"/>
      <c r="C1105" s="519"/>
      <c r="D1105" s="519"/>
      <c r="E1105" s="519"/>
      <c r="F1105" s="518"/>
      <c r="G1105" s="516"/>
      <c r="H1105" s="517"/>
      <c r="I1105" s="516"/>
      <c r="J1105" s="516"/>
      <c r="K1105" s="515"/>
      <c r="L1105" s="515"/>
      <c r="M1105" s="514"/>
    </row>
    <row r="1106" spans="1:13">
      <c r="A1106" s="516"/>
      <c r="B1106" s="517"/>
      <c r="C1106" s="519"/>
      <c r="D1106" s="519"/>
      <c r="E1106" s="519"/>
      <c r="F1106" s="518"/>
      <c r="G1106" s="516"/>
      <c r="H1106" s="517"/>
      <c r="I1106" s="516"/>
      <c r="J1106" s="516"/>
      <c r="K1106" s="515"/>
      <c r="L1106" s="515"/>
      <c r="M1106" s="514"/>
    </row>
    <row r="1107" spans="1:13">
      <c r="A1107" s="516"/>
      <c r="B1107" s="517"/>
      <c r="C1107" s="519"/>
      <c r="D1107" s="519"/>
      <c r="E1107" s="519"/>
      <c r="F1107" s="518"/>
      <c r="G1107" s="516"/>
      <c r="H1107" s="517"/>
      <c r="I1107" s="516"/>
      <c r="J1107" s="516"/>
      <c r="K1107" s="515"/>
      <c r="L1107" s="515"/>
      <c r="M1107" s="514"/>
    </row>
    <row r="1108" spans="1:13">
      <c r="A1108" s="516"/>
      <c r="B1108" s="517"/>
      <c r="C1108" s="519"/>
      <c r="D1108" s="519"/>
      <c r="E1108" s="519"/>
      <c r="F1108" s="518"/>
      <c r="G1108" s="516"/>
      <c r="H1108" s="517"/>
      <c r="I1108" s="516"/>
      <c r="J1108" s="516"/>
      <c r="K1108" s="515"/>
      <c r="L1108" s="515"/>
      <c r="M1108" s="514"/>
    </row>
    <row r="1109" spans="1:13">
      <c r="A1109" s="516"/>
      <c r="B1109" s="517"/>
      <c r="C1109" s="519"/>
      <c r="D1109" s="519"/>
      <c r="E1109" s="519"/>
      <c r="F1109" s="518"/>
      <c r="G1109" s="516"/>
      <c r="H1109" s="517"/>
      <c r="I1109" s="516"/>
      <c r="J1109" s="516"/>
      <c r="K1109" s="515"/>
      <c r="L1109" s="515"/>
      <c r="M1109" s="514"/>
    </row>
    <row r="1110" spans="1:13">
      <c r="A1110" s="516"/>
      <c r="B1110" s="517"/>
      <c r="C1110" s="519"/>
      <c r="D1110" s="519"/>
      <c r="E1110" s="519"/>
      <c r="F1110" s="518"/>
      <c r="G1110" s="516"/>
      <c r="H1110" s="517"/>
      <c r="I1110" s="516"/>
      <c r="J1110" s="516"/>
      <c r="K1110" s="515"/>
      <c r="L1110" s="515"/>
      <c r="M1110" s="514"/>
    </row>
    <row r="1111" spans="1:13">
      <c r="A1111" s="516"/>
      <c r="B1111" s="517"/>
      <c r="C1111" s="519"/>
      <c r="D1111" s="519"/>
      <c r="E1111" s="519"/>
      <c r="F1111" s="518"/>
      <c r="G1111" s="516"/>
      <c r="H1111" s="517"/>
      <c r="I1111" s="516"/>
      <c r="J1111" s="516"/>
      <c r="K1111" s="515"/>
      <c r="L1111" s="515"/>
      <c r="M1111" s="514"/>
    </row>
    <row r="1112" spans="1:13">
      <c r="A1112" s="516"/>
      <c r="B1112" s="517"/>
      <c r="C1112" s="519"/>
      <c r="D1112" s="519"/>
      <c r="E1112" s="519"/>
      <c r="F1112" s="518"/>
      <c r="G1112" s="516"/>
      <c r="H1112" s="517"/>
      <c r="I1112" s="516"/>
      <c r="J1112" s="516"/>
      <c r="K1112" s="515"/>
      <c r="L1112" s="515"/>
      <c r="M1112" s="514"/>
    </row>
    <row r="1113" spans="1:13">
      <c r="A1113" s="516"/>
      <c r="B1113" s="517"/>
      <c r="C1113" s="519"/>
      <c r="D1113" s="519"/>
      <c r="E1113" s="519"/>
      <c r="F1113" s="518"/>
      <c r="G1113" s="516"/>
      <c r="H1113" s="517"/>
      <c r="I1113" s="516"/>
      <c r="J1113" s="516"/>
      <c r="K1113" s="515"/>
      <c r="L1113" s="515"/>
      <c r="M1113" s="514"/>
    </row>
    <row r="1114" spans="1:13">
      <c r="A1114" s="516"/>
      <c r="B1114" s="517"/>
      <c r="C1114" s="519"/>
      <c r="D1114" s="519"/>
      <c r="E1114" s="519"/>
      <c r="F1114" s="518"/>
      <c r="G1114" s="516"/>
      <c r="H1114" s="517"/>
      <c r="I1114" s="516"/>
      <c r="J1114" s="516"/>
      <c r="K1114" s="515"/>
      <c r="L1114" s="515"/>
      <c r="M1114" s="514"/>
    </row>
    <row r="1115" spans="1:13">
      <c r="A1115" s="516"/>
      <c r="B1115" s="517"/>
      <c r="C1115" s="519"/>
      <c r="D1115" s="519"/>
      <c r="E1115" s="519"/>
      <c r="F1115" s="518"/>
      <c r="G1115" s="516"/>
      <c r="H1115" s="517"/>
      <c r="I1115" s="516"/>
      <c r="J1115" s="516"/>
      <c r="K1115" s="515"/>
      <c r="L1115" s="515"/>
      <c r="M1115" s="514"/>
    </row>
    <row r="1116" spans="1:13">
      <c r="A1116" s="516"/>
      <c r="B1116" s="517"/>
      <c r="C1116" s="519"/>
      <c r="D1116" s="519"/>
      <c r="E1116" s="519"/>
      <c r="F1116" s="518"/>
      <c r="G1116" s="516"/>
      <c r="H1116" s="517"/>
      <c r="I1116" s="516"/>
      <c r="J1116" s="516"/>
      <c r="K1116" s="515"/>
      <c r="L1116" s="515"/>
      <c r="M1116" s="514"/>
    </row>
    <row r="1117" spans="1:13">
      <c r="A1117" s="516"/>
      <c r="B1117" s="517"/>
      <c r="C1117" s="519"/>
      <c r="D1117" s="519"/>
      <c r="E1117" s="519"/>
      <c r="F1117" s="518"/>
      <c r="G1117" s="516"/>
      <c r="H1117" s="517"/>
      <c r="I1117" s="516"/>
      <c r="J1117" s="516"/>
      <c r="K1117" s="515"/>
      <c r="L1117" s="515"/>
      <c r="M1117" s="514"/>
    </row>
    <row r="1118" spans="1:13">
      <c r="A1118" s="516"/>
      <c r="B1118" s="517"/>
      <c r="C1118" s="519"/>
      <c r="D1118" s="519"/>
      <c r="E1118" s="519"/>
      <c r="F1118" s="518"/>
      <c r="G1118" s="516"/>
      <c r="H1118" s="517"/>
      <c r="I1118" s="516"/>
      <c r="J1118" s="516"/>
      <c r="K1118" s="515"/>
      <c r="L1118" s="515"/>
      <c r="M1118" s="514"/>
    </row>
    <row r="1119" spans="1:13">
      <c r="A1119" s="516"/>
      <c r="B1119" s="517"/>
      <c r="C1119" s="519"/>
      <c r="D1119" s="519"/>
      <c r="E1119" s="519"/>
      <c r="F1119" s="518"/>
      <c r="G1119" s="516"/>
      <c r="H1119" s="517"/>
      <c r="I1119" s="516"/>
      <c r="J1119" s="516"/>
      <c r="K1119" s="515"/>
      <c r="L1119" s="515"/>
      <c r="M1119" s="514"/>
    </row>
    <row r="1120" spans="1:13">
      <c r="A1120" s="516"/>
      <c r="B1120" s="517"/>
      <c r="C1120" s="519"/>
      <c r="D1120" s="519"/>
      <c r="E1120" s="519"/>
      <c r="F1120" s="518"/>
      <c r="G1120" s="516"/>
      <c r="H1120" s="517"/>
      <c r="I1120" s="516"/>
      <c r="J1120" s="516"/>
      <c r="K1120" s="515"/>
      <c r="L1120" s="515"/>
      <c r="M1120" s="514"/>
    </row>
    <row r="1121" spans="1:13">
      <c r="A1121" s="516"/>
      <c r="B1121" s="517"/>
      <c r="C1121" s="519"/>
      <c r="D1121" s="519"/>
      <c r="E1121" s="519"/>
      <c r="F1121" s="518"/>
      <c r="G1121" s="516"/>
      <c r="H1121" s="517"/>
      <c r="I1121" s="516"/>
      <c r="J1121" s="516"/>
      <c r="K1121" s="515"/>
      <c r="L1121" s="515"/>
      <c r="M1121" s="514"/>
    </row>
    <row r="1122" spans="1:13">
      <c r="A1122" s="516"/>
      <c r="B1122" s="517"/>
      <c r="C1122" s="519"/>
      <c r="D1122" s="519"/>
      <c r="E1122" s="519"/>
      <c r="F1122" s="518"/>
      <c r="G1122" s="516"/>
      <c r="H1122" s="517"/>
      <c r="I1122" s="516"/>
      <c r="J1122" s="516"/>
      <c r="K1122" s="515"/>
      <c r="L1122" s="515"/>
      <c r="M1122" s="514"/>
    </row>
    <row r="1123" spans="1:13">
      <c r="A1123" s="516"/>
      <c r="B1123" s="517"/>
      <c r="C1123" s="519"/>
      <c r="D1123" s="519"/>
      <c r="E1123" s="519"/>
      <c r="F1123" s="518"/>
      <c r="G1123" s="516"/>
      <c r="H1123" s="517"/>
      <c r="I1123" s="516"/>
      <c r="J1123" s="516"/>
      <c r="K1123" s="515"/>
      <c r="L1123" s="515"/>
      <c r="M1123" s="514"/>
    </row>
    <row r="1124" spans="1:13">
      <c r="A1124" s="516"/>
      <c r="B1124" s="517"/>
      <c r="C1124" s="519"/>
      <c r="D1124" s="519"/>
      <c r="E1124" s="519"/>
      <c r="F1124" s="518"/>
      <c r="G1124" s="516"/>
      <c r="H1124" s="517"/>
      <c r="I1124" s="516"/>
      <c r="J1124" s="516"/>
      <c r="K1124" s="515"/>
      <c r="L1124" s="515"/>
      <c r="M1124" s="514"/>
    </row>
    <row r="1125" spans="1:13">
      <c r="A1125" s="516"/>
      <c r="B1125" s="517"/>
      <c r="C1125" s="519"/>
      <c r="D1125" s="519"/>
      <c r="E1125" s="519"/>
      <c r="F1125" s="518"/>
      <c r="G1125" s="516"/>
      <c r="H1125" s="517"/>
      <c r="I1125" s="516"/>
      <c r="J1125" s="516"/>
      <c r="K1125" s="515"/>
      <c r="L1125" s="515"/>
      <c r="M1125" s="514"/>
    </row>
    <row r="1126" spans="1:13">
      <c r="A1126" s="516"/>
      <c r="B1126" s="517"/>
      <c r="C1126" s="519"/>
      <c r="D1126" s="519"/>
      <c r="E1126" s="519"/>
      <c r="F1126" s="518"/>
      <c r="G1126" s="516"/>
      <c r="H1126" s="517"/>
      <c r="I1126" s="516"/>
      <c r="J1126" s="516"/>
      <c r="K1126" s="515"/>
      <c r="L1126" s="515"/>
      <c r="M1126" s="514"/>
    </row>
    <row r="1127" spans="1:13">
      <c r="A1127" s="516"/>
      <c r="B1127" s="517"/>
      <c r="C1127" s="519"/>
      <c r="D1127" s="519"/>
      <c r="E1127" s="519"/>
      <c r="F1127" s="518"/>
      <c r="G1127" s="516"/>
      <c r="H1127" s="517"/>
      <c r="I1127" s="516"/>
      <c r="J1127" s="516"/>
      <c r="K1127" s="515"/>
      <c r="L1127" s="515"/>
      <c r="M1127" s="514"/>
    </row>
    <row r="1128" spans="1:13">
      <c r="A1128" s="516"/>
      <c r="B1128" s="517"/>
      <c r="C1128" s="519"/>
      <c r="D1128" s="519"/>
      <c r="E1128" s="519"/>
      <c r="F1128" s="518"/>
      <c r="G1128" s="516"/>
      <c r="H1128" s="517"/>
      <c r="I1128" s="516"/>
      <c r="J1128" s="516"/>
      <c r="K1128" s="515"/>
      <c r="L1128" s="515"/>
      <c r="M1128" s="514"/>
    </row>
    <row r="1129" spans="1:13">
      <c r="A1129" s="516"/>
      <c r="B1129" s="517"/>
      <c r="C1129" s="519"/>
      <c r="D1129" s="519"/>
      <c r="E1129" s="519"/>
      <c r="F1129" s="518"/>
      <c r="G1129" s="516"/>
      <c r="H1129" s="517"/>
      <c r="I1129" s="516"/>
      <c r="J1129" s="516"/>
      <c r="K1129" s="515"/>
      <c r="L1129" s="515"/>
      <c r="M1129" s="514"/>
    </row>
    <row r="1130" spans="1:13">
      <c r="A1130" s="516"/>
      <c r="B1130" s="517"/>
      <c r="C1130" s="519"/>
      <c r="D1130" s="519"/>
      <c r="E1130" s="519"/>
      <c r="F1130" s="518"/>
      <c r="G1130" s="516"/>
      <c r="H1130" s="517"/>
      <c r="I1130" s="516"/>
      <c r="J1130" s="516"/>
      <c r="K1130" s="515"/>
      <c r="L1130" s="515"/>
      <c r="M1130" s="514"/>
    </row>
    <row r="1131" spans="1:13">
      <c r="A1131" s="516"/>
      <c r="B1131" s="517"/>
      <c r="C1131" s="519"/>
      <c r="D1131" s="519"/>
      <c r="E1131" s="519"/>
      <c r="F1131" s="518"/>
      <c r="G1131" s="516"/>
      <c r="H1131" s="517"/>
      <c r="I1131" s="516"/>
      <c r="J1131" s="516"/>
      <c r="K1131" s="515"/>
      <c r="L1131" s="515"/>
      <c r="M1131" s="514"/>
    </row>
    <row r="1132" spans="1:13">
      <c r="A1132" s="516"/>
      <c r="B1132" s="517"/>
      <c r="C1132" s="519"/>
      <c r="D1132" s="519"/>
      <c r="E1132" s="519"/>
      <c r="F1132" s="518"/>
      <c r="G1132" s="516"/>
      <c r="H1132" s="517"/>
      <c r="I1132" s="516"/>
      <c r="J1132" s="516"/>
      <c r="K1132" s="515"/>
      <c r="L1132" s="515"/>
      <c r="M1132" s="514"/>
    </row>
    <row r="1133" spans="1:13">
      <c r="A1133" s="516"/>
      <c r="B1133" s="517"/>
      <c r="C1133" s="519"/>
      <c r="D1133" s="519"/>
      <c r="E1133" s="519"/>
      <c r="F1133" s="518"/>
      <c r="G1133" s="516"/>
      <c r="H1133" s="517"/>
      <c r="I1133" s="516"/>
      <c r="J1133" s="516"/>
      <c r="K1133" s="515"/>
      <c r="L1133" s="515"/>
      <c r="M1133" s="514"/>
    </row>
    <row r="1134" spans="1:13">
      <c r="A1134" s="516"/>
      <c r="B1134" s="517"/>
      <c r="C1134" s="519"/>
      <c r="D1134" s="519"/>
      <c r="E1134" s="519"/>
      <c r="F1134" s="518"/>
      <c r="G1134" s="516"/>
      <c r="H1134" s="517"/>
      <c r="I1134" s="516"/>
      <c r="J1134" s="516"/>
      <c r="K1134" s="515"/>
      <c r="L1134" s="515"/>
      <c r="M1134" s="514"/>
    </row>
    <row r="1135" spans="1:13">
      <c r="A1135" s="516"/>
      <c r="B1135" s="517"/>
      <c r="C1135" s="519"/>
      <c r="D1135" s="519"/>
      <c r="E1135" s="519"/>
      <c r="F1135" s="518"/>
      <c r="G1135" s="516"/>
      <c r="H1135" s="517"/>
      <c r="I1135" s="516"/>
      <c r="J1135" s="516"/>
      <c r="K1135" s="515"/>
      <c r="L1135" s="515"/>
      <c r="M1135" s="514"/>
    </row>
    <row r="1136" spans="1:13">
      <c r="A1136" s="516"/>
      <c r="B1136" s="517"/>
      <c r="C1136" s="519"/>
      <c r="D1136" s="519"/>
      <c r="E1136" s="519"/>
      <c r="F1136" s="518"/>
      <c r="G1136" s="516"/>
      <c r="H1136" s="517"/>
      <c r="I1136" s="516"/>
      <c r="J1136" s="516"/>
      <c r="K1136" s="515"/>
      <c r="L1136" s="515"/>
      <c r="M1136" s="514"/>
    </row>
    <row r="1137" spans="1:13">
      <c r="A1137" s="516"/>
      <c r="B1137" s="517"/>
      <c r="C1137" s="519"/>
      <c r="D1137" s="519"/>
      <c r="E1137" s="519"/>
      <c r="F1137" s="518"/>
      <c r="G1137" s="516"/>
      <c r="H1137" s="517"/>
      <c r="I1137" s="516"/>
      <c r="J1137" s="516"/>
      <c r="K1137" s="515"/>
      <c r="L1137" s="515"/>
      <c r="M1137" s="514"/>
    </row>
    <row r="1138" spans="1:13">
      <c r="A1138" s="516"/>
      <c r="B1138" s="517"/>
      <c r="C1138" s="519"/>
      <c r="D1138" s="519"/>
      <c r="E1138" s="519"/>
      <c r="F1138" s="518"/>
      <c r="G1138" s="516"/>
      <c r="H1138" s="517"/>
      <c r="I1138" s="516"/>
      <c r="J1138" s="516"/>
      <c r="K1138" s="515"/>
      <c r="L1138" s="515"/>
      <c r="M1138" s="514"/>
    </row>
    <row r="1139" spans="1:13">
      <c r="A1139" s="516"/>
      <c r="B1139" s="517"/>
      <c r="C1139" s="519"/>
      <c r="D1139" s="519"/>
      <c r="E1139" s="519"/>
      <c r="F1139" s="518"/>
      <c r="G1139" s="516"/>
      <c r="H1139" s="517"/>
      <c r="I1139" s="516"/>
      <c r="J1139" s="516"/>
      <c r="K1139" s="515"/>
      <c r="L1139" s="515"/>
      <c r="M1139" s="514"/>
    </row>
    <row r="1140" spans="1:13">
      <c r="A1140" s="516"/>
      <c r="B1140" s="517"/>
      <c r="C1140" s="519"/>
      <c r="D1140" s="519"/>
      <c r="E1140" s="519"/>
      <c r="F1140" s="518"/>
      <c r="G1140" s="516"/>
      <c r="H1140" s="517"/>
      <c r="I1140" s="516"/>
      <c r="J1140" s="516"/>
      <c r="K1140" s="515"/>
      <c r="L1140" s="515"/>
      <c r="M1140" s="514"/>
    </row>
    <row r="1141" spans="1:13">
      <c r="A1141" s="516"/>
      <c r="B1141" s="517"/>
      <c r="C1141" s="519"/>
      <c r="D1141" s="519"/>
      <c r="E1141" s="519"/>
      <c r="F1141" s="518"/>
      <c r="G1141" s="516"/>
      <c r="H1141" s="517"/>
      <c r="I1141" s="516"/>
      <c r="J1141" s="516"/>
      <c r="K1141" s="515"/>
      <c r="L1141" s="515"/>
      <c r="M1141" s="514"/>
    </row>
    <row r="1142" spans="1:13">
      <c r="A1142" s="516"/>
      <c r="B1142" s="517"/>
      <c r="C1142" s="519"/>
      <c r="D1142" s="519"/>
      <c r="E1142" s="519"/>
      <c r="F1142" s="518"/>
      <c r="G1142" s="516"/>
      <c r="H1142" s="517"/>
      <c r="I1142" s="516"/>
      <c r="J1142" s="516"/>
      <c r="K1142" s="515"/>
      <c r="L1142" s="515"/>
      <c r="M1142" s="514"/>
    </row>
    <row r="1143" spans="1:13">
      <c r="A1143" s="516"/>
      <c r="B1143" s="517"/>
      <c r="C1143" s="519"/>
      <c r="D1143" s="519"/>
      <c r="E1143" s="519"/>
      <c r="F1143" s="518"/>
      <c r="G1143" s="516"/>
      <c r="H1143" s="517"/>
      <c r="I1143" s="516"/>
      <c r="J1143" s="516"/>
      <c r="K1143" s="515"/>
      <c r="L1143" s="515"/>
      <c r="M1143" s="514"/>
    </row>
    <row r="1144" spans="1:13">
      <c r="A1144" s="516"/>
      <c r="B1144" s="517"/>
      <c r="C1144" s="519"/>
      <c r="D1144" s="519"/>
      <c r="E1144" s="519"/>
      <c r="F1144" s="518"/>
      <c r="G1144" s="516"/>
      <c r="H1144" s="517"/>
      <c r="I1144" s="516"/>
      <c r="J1144" s="516"/>
      <c r="K1144" s="515"/>
      <c r="L1144" s="515"/>
      <c r="M1144" s="514"/>
    </row>
    <row r="1145" spans="1:13">
      <c r="A1145" s="516"/>
      <c r="B1145" s="517"/>
      <c r="C1145" s="519"/>
      <c r="D1145" s="519"/>
      <c r="E1145" s="519"/>
      <c r="F1145" s="518"/>
      <c r="G1145" s="516"/>
      <c r="H1145" s="517"/>
      <c r="I1145" s="516"/>
      <c r="J1145" s="516"/>
      <c r="K1145" s="515"/>
      <c r="L1145" s="515"/>
      <c r="M1145" s="514"/>
    </row>
    <row r="1146" spans="1:13">
      <c r="A1146" s="516"/>
      <c r="B1146" s="517"/>
      <c r="C1146" s="519"/>
      <c r="D1146" s="519"/>
      <c r="E1146" s="519"/>
      <c r="F1146" s="518"/>
      <c r="G1146" s="516"/>
      <c r="H1146" s="517"/>
      <c r="I1146" s="516"/>
      <c r="J1146" s="516"/>
      <c r="K1146" s="515"/>
      <c r="L1146" s="515"/>
      <c r="M1146" s="514"/>
    </row>
    <row r="1147" spans="1:13">
      <c r="A1147" s="516"/>
      <c r="B1147" s="517"/>
      <c r="C1147" s="519"/>
      <c r="D1147" s="519"/>
      <c r="E1147" s="519"/>
      <c r="F1147" s="518"/>
      <c r="G1147" s="516"/>
      <c r="H1147" s="517"/>
      <c r="I1147" s="516"/>
      <c r="J1147" s="516"/>
      <c r="K1147" s="515"/>
      <c r="L1147" s="515"/>
      <c r="M1147" s="514"/>
    </row>
    <row r="1148" spans="1:13">
      <c r="A1148" s="516"/>
      <c r="B1148" s="517"/>
      <c r="C1148" s="519"/>
      <c r="D1148" s="519"/>
      <c r="E1148" s="519"/>
      <c r="F1148" s="518"/>
      <c r="G1148" s="516"/>
      <c r="H1148" s="517"/>
      <c r="I1148" s="516"/>
      <c r="J1148" s="516"/>
      <c r="K1148" s="515"/>
      <c r="L1148" s="515"/>
      <c r="M1148" s="514"/>
    </row>
    <row r="1149" spans="1:13">
      <c r="A1149" s="516"/>
      <c r="B1149" s="517"/>
      <c r="C1149" s="519"/>
      <c r="D1149" s="519"/>
      <c r="E1149" s="519"/>
      <c r="F1149" s="518"/>
      <c r="G1149" s="516"/>
      <c r="H1149" s="517"/>
      <c r="I1149" s="516"/>
      <c r="J1149" s="516"/>
      <c r="K1149" s="515"/>
      <c r="L1149" s="515"/>
      <c r="M1149" s="514"/>
    </row>
    <row r="1150" spans="1:13">
      <c r="A1150" s="516"/>
      <c r="B1150" s="517"/>
      <c r="C1150" s="519"/>
      <c r="D1150" s="519"/>
      <c r="E1150" s="519"/>
      <c r="F1150" s="518"/>
      <c r="G1150" s="516"/>
      <c r="H1150" s="517"/>
      <c r="I1150" s="516"/>
      <c r="J1150" s="516"/>
      <c r="K1150" s="515"/>
      <c r="L1150" s="515"/>
      <c r="M1150" s="514"/>
    </row>
    <row r="1151" spans="1:13">
      <c r="A1151" s="516"/>
      <c r="B1151" s="517"/>
      <c r="C1151" s="519"/>
      <c r="D1151" s="519"/>
      <c r="E1151" s="519"/>
      <c r="F1151" s="518"/>
      <c r="G1151" s="516"/>
      <c r="H1151" s="517"/>
      <c r="I1151" s="516"/>
      <c r="J1151" s="516"/>
      <c r="K1151" s="515"/>
      <c r="L1151" s="515"/>
      <c r="M1151" s="514"/>
    </row>
    <row r="1152" spans="1:13">
      <c r="A1152" s="516"/>
      <c r="B1152" s="517"/>
      <c r="C1152" s="519"/>
      <c r="D1152" s="519"/>
      <c r="E1152" s="519"/>
      <c r="F1152" s="518"/>
      <c r="G1152" s="516"/>
      <c r="H1152" s="517"/>
      <c r="I1152" s="516"/>
      <c r="J1152" s="516"/>
      <c r="K1152" s="515"/>
      <c r="L1152" s="515"/>
      <c r="M1152" s="514"/>
    </row>
    <row r="1153" spans="1:13">
      <c r="A1153" s="516"/>
      <c r="B1153" s="517"/>
      <c r="C1153" s="519"/>
      <c r="D1153" s="519"/>
      <c r="E1153" s="519"/>
      <c r="F1153" s="518"/>
      <c r="G1153" s="516"/>
      <c r="H1153" s="517"/>
      <c r="I1153" s="516"/>
      <c r="J1153" s="516"/>
      <c r="K1153" s="515"/>
      <c r="L1153" s="515"/>
      <c r="M1153" s="514"/>
    </row>
    <row r="1154" spans="1:13">
      <c r="A1154" s="516"/>
      <c r="B1154" s="517"/>
      <c r="C1154" s="519"/>
      <c r="D1154" s="519"/>
      <c r="E1154" s="519"/>
      <c r="F1154" s="518"/>
      <c r="G1154" s="516"/>
      <c r="H1154" s="517"/>
      <c r="I1154" s="516"/>
      <c r="J1154" s="516"/>
      <c r="K1154" s="515"/>
      <c r="L1154" s="515"/>
      <c r="M1154" s="514"/>
    </row>
    <row r="1155" spans="1:13">
      <c r="A1155" s="516"/>
      <c r="B1155" s="517"/>
      <c r="C1155" s="519"/>
      <c r="D1155" s="519"/>
      <c r="E1155" s="519"/>
      <c r="F1155" s="518"/>
      <c r="G1155" s="516"/>
      <c r="H1155" s="517"/>
      <c r="I1155" s="516"/>
      <c r="J1155" s="516"/>
      <c r="K1155" s="515"/>
      <c r="L1155" s="515"/>
      <c r="M1155" s="514"/>
    </row>
    <row r="1156" spans="1:13">
      <c r="A1156" s="516"/>
      <c r="B1156" s="517"/>
      <c r="C1156" s="519"/>
      <c r="D1156" s="519"/>
      <c r="E1156" s="519"/>
      <c r="F1156" s="518"/>
      <c r="G1156" s="516"/>
      <c r="H1156" s="517"/>
      <c r="I1156" s="516"/>
      <c r="J1156" s="516"/>
      <c r="K1156" s="515"/>
      <c r="L1156" s="515"/>
      <c r="M1156" s="514"/>
    </row>
    <row r="1157" spans="1:13">
      <c r="A1157" s="516"/>
      <c r="B1157" s="517"/>
      <c r="C1157" s="519"/>
      <c r="D1157" s="519"/>
      <c r="E1157" s="519"/>
      <c r="F1157" s="518"/>
      <c r="G1157" s="516"/>
      <c r="H1157" s="517"/>
      <c r="I1157" s="516"/>
      <c r="J1157" s="516"/>
      <c r="K1157" s="515"/>
      <c r="L1157" s="515"/>
      <c r="M1157" s="514"/>
    </row>
    <row r="1158" spans="1:13">
      <c r="A1158" s="516"/>
      <c r="B1158" s="517"/>
      <c r="C1158" s="519"/>
      <c r="D1158" s="519"/>
      <c r="E1158" s="519"/>
      <c r="F1158" s="518"/>
      <c r="G1158" s="516"/>
      <c r="H1158" s="517"/>
      <c r="I1158" s="516"/>
      <c r="J1158" s="516"/>
      <c r="K1158" s="515"/>
      <c r="L1158" s="515"/>
      <c r="M1158" s="514"/>
    </row>
    <row r="1159" spans="1:13">
      <c r="A1159" s="516"/>
      <c r="B1159" s="517"/>
      <c r="C1159" s="519"/>
      <c r="D1159" s="519"/>
      <c r="E1159" s="519"/>
      <c r="F1159" s="518"/>
      <c r="G1159" s="516"/>
      <c r="H1159" s="517"/>
      <c r="I1159" s="516"/>
      <c r="J1159" s="516"/>
      <c r="K1159" s="515"/>
      <c r="L1159" s="515"/>
      <c r="M1159" s="514"/>
    </row>
    <row r="1160" spans="1:13">
      <c r="A1160" s="516"/>
      <c r="B1160" s="517"/>
      <c r="C1160" s="519"/>
      <c r="D1160" s="519"/>
      <c r="E1160" s="519"/>
      <c r="F1160" s="518"/>
      <c r="G1160" s="516"/>
      <c r="H1160" s="517"/>
      <c r="I1160" s="516"/>
      <c r="J1160" s="516"/>
      <c r="K1160" s="515"/>
      <c r="L1160" s="515"/>
      <c r="M1160" s="514"/>
    </row>
    <row r="1161" spans="1:13">
      <c r="A1161" s="516"/>
      <c r="B1161" s="517"/>
      <c r="C1161" s="519"/>
      <c r="D1161" s="519"/>
      <c r="E1161" s="519"/>
      <c r="F1161" s="518"/>
      <c r="G1161" s="516"/>
      <c r="H1161" s="517"/>
      <c r="I1161" s="516"/>
      <c r="J1161" s="516"/>
      <c r="K1161" s="515"/>
      <c r="L1161" s="515"/>
      <c r="M1161" s="514"/>
    </row>
    <row r="1162" spans="1:13">
      <c r="A1162" s="516"/>
      <c r="B1162" s="517"/>
      <c r="C1162" s="519"/>
      <c r="D1162" s="519"/>
      <c r="E1162" s="519"/>
      <c r="F1162" s="518"/>
      <c r="G1162" s="516"/>
      <c r="H1162" s="517"/>
      <c r="I1162" s="516"/>
      <c r="J1162" s="516"/>
      <c r="K1162" s="515"/>
      <c r="L1162" s="515"/>
      <c r="M1162" s="514"/>
    </row>
    <row r="1163" spans="1:13">
      <c r="A1163" s="516"/>
      <c r="B1163" s="517"/>
      <c r="C1163" s="519"/>
      <c r="D1163" s="519"/>
      <c r="E1163" s="519"/>
      <c r="F1163" s="518"/>
      <c r="G1163" s="516"/>
      <c r="H1163" s="517"/>
      <c r="I1163" s="516"/>
      <c r="J1163" s="516"/>
      <c r="K1163" s="515"/>
      <c r="L1163" s="515"/>
      <c r="M1163" s="514"/>
    </row>
    <row r="1164" spans="1:13">
      <c r="A1164" s="516"/>
      <c r="B1164" s="517"/>
      <c r="C1164" s="519"/>
      <c r="D1164" s="519"/>
      <c r="E1164" s="519"/>
      <c r="F1164" s="518"/>
      <c r="G1164" s="516"/>
      <c r="H1164" s="517"/>
      <c r="I1164" s="516"/>
      <c r="J1164" s="516"/>
      <c r="K1164" s="515"/>
      <c r="L1164" s="515"/>
      <c r="M1164" s="514"/>
    </row>
    <row r="1165" spans="1:13">
      <c r="A1165" s="516"/>
      <c r="B1165" s="517"/>
      <c r="C1165" s="519"/>
      <c r="D1165" s="519"/>
      <c r="E1165" s="519"/>
      <c r="F1165" s="518"/>
      <c r="G1165" s="516"/>
      <c r="H1165" s="517"/>
      <c r="I1165" s="516"/>
      <c r="J1165" s="516"/>
      <c r="K1165" s="515"/>
      <c r="L1165" s="515"/>
      <c r="M1165" s="514"/>
    </row>
    <row r="1166" spans="1:13">
      <c r="A1166" s="516"/>
      <c r="B1166" s="517"/>
      <c r="C1166" s="519"/>
      <c r="D1166" s="519"/>
      <c r="E1166" s="519"/>
      <c r="F1166" s="518"/>
      <c r="G1166" s="516"/>
      <c r="H1166" s="517"/>
      <c r="I1166" s="516"/>
      <c r="J1166" s="516"/>
      <c r="K1166" s="515"/>
      <c r="L1166" s="515"/>
      <c r="M1166" s="514"/>
    </row>
    <row r="1167" spans="1:13">
      <c r="A1167" s="516"/>
      <c r="B1167" s="517"/>
      <c r="C1167" s="519"/>
      <c r="D1167" s="519"/>
      <c r="E1167" s="519"/>
      <c r="F1167" s="518"/>
      <c r="G1167" s="516"/>
      <c r="H1167" s="517"/>
      <c r="I1167" s="516"/>
      <c r="J1167" s="516"/>
      <c r="K1167" s="515"/>
      <c r="L1167" s="515"/>
      <c r="M1167" s="514"/>
    </row>
    <row r="1168" spans="1:13">
      <c r="A1168" s="516"/>
      <c r="B1168" s="517"/>
      <c r="C1168" s="519"/>
      <c r="D1168" s="519"/>
      <c r="E1168" s="519"/>
      <c r="F1168" s="518"/>
      <c r="G1168" s="516"/>
      <c r="H1168" s="517"/>
      <c r="I1168" s="516"/>
      <c r="J1168" s="516"/>
      <c r="K1168" s="515"/>
      <c r="L1168" s="515"/>
      <c r="M1168" s="514"/>
    </row>
    <row r="1169" spans="1:13">
      <c r="A1169" s="516"/>
      <c r="B1169" s="517"/>
      <c r="C1169" s="519"/>
      <c r="D1169" s="519"/>
      <c r="E1169" s="519"/>
      <c r="F1169" s="518"/>
      <c r="G1169" s="516"/>
      <c r="H1169" s="517"/>
      <c r="I1169" s="516"/>
      <c r="J1169" s="516"/>
      <c r="K1169" s="515"/>
      <c r="L1169" s="515"/>
      <c r="M1169" s="514"/>
    </row>
    <row r="1170" spans="1:13">
      <c r="A1170" s="516"/>
      <c r="B1170" s="517"/>
      <c r="C1170" s="519"/>
      <c r="D1170" s="519"/>
      <c r="E1170" s="519"/>
      <c r="F1170" s="518"/>
      <c r="G1170" s="516"/>
      <c r="H1170" s="517"/>
      <c r="I1170" s="516"/>
      <c r="J1170" s="516"/>
      <c r="K1170" s="515"/>
      <c r="L1170" s="515"/>
      <c r="M1170" s="514"/>
    </row>
    <row r="1171" spans="1:13">
      <c r="A1171" s="516"/>
      <c r="B1171" s="517"/>
      <c r="C1171" s="519"/>
      <c r="D1171" s="519"/>
      <c r="E1171" s="519"/>
      <c r="F1171" s="518"/>
      <c r="G1171" s="516"/>
      <c r="H1171" s="517"/>
      <c r="I1171" s="516"/>
      <c r="J1171" s="516"/>
      <c r="K1171" s="515"/>
      <c r="L1171" s="515"/>
      <c r="M1171" s="514"/>
    </row>
    <row r="1172" spans="1:13">
      <c r="A1172" s="516"/>
      <c r="B1172" s="517"/>
      <c r="C1172" s="519"/>
      <c r="D1172" s="519"/>
      <c r="E1172" s="519"/>
      <c r="F1172" s="518"/>
      <c r="G1172" s="516"/>
      <c r="H1172" s="517"/>
      <c r="I1172" s="516"/>
      <c r="J1172" s="516"/>
      <c r="K1172" s="515"/>
      <c r="L1172" s="515"/>
      <c r="M1172" s="514"/>
    </row>
    <row r="1173" spans="1:13">
      <c r="A1173" s="516"/>
      <c r="B1173" s="517"/>
      <c r="C1173" s="519"/>
      <c r="D1173" s="519"/>
      <c r="E1173" s="519"/>
      <c r="F1173" s="518"/>
      <c r="G1173" s="516"/>
      <c r="H1173" s="517"/>
      <c r="I1173" s="516"/>
      <c r="J1173" s="516"/>
      <c r="K1173" s="515"/>
      <c r="L1173" s="515"/>
      <c r="M1173" s="514"/>
    </row>
    <row r="1174" spans="1:13">
      <c r="A1174" s="516"/>
      <c r="B1174" s="517"/>
      <c r="C1174" s="519"/>
      <c r="D1174" s="519"/>
      <c r="E1174" s="519"/>
      <c r="F1174" s="518"/>
      <c r="G1174" s="516"/>
      <c r="H1174" s="517"/>
      <c r="I1174" s="516"/>
      <c r="J1174" s="516"/>
      <c r="K1174" s="515"/>
      <c r="L1174" s="515"/>
      <c r="M1174" s="514"/>
    </row>
    <row r="1175" spans="1:13">
      <c r="A1175" s="516"/>
      <c r="B1175" s="517"/>
      <c r="C1175" s="519"/>
      <c r="D1175" s="519"/>
      <c r="E1175" s="519"/>
      <c r="F1175" s="518"/>
      <c r="G1175" s="516"/>
      <c r="H1175" s="517"/>
      <c r="I1175" s="516"/>
      <c r="J1175" s="516"/>
      <c r="K1175" s="515"/>
      <c r="L1175" s="515"/>
      <c r="M1175" s="514"/>
    </row>
    <row r="1176" spans="1:13">
      <c r="A1176" s="516"/>
      <c r="B1176" s="517"/>
      <c r="C1176" s="519"/>
      <c r="D1176" s="519"/>
      <c r="E1176" s="519"/>
      <c r="F1176" s="518"/>
      <c r="G1176" s="516"/>
      <c r="H1176" s="517"/>
      <c r="I1176" s="516"/>
      <c r="J1176" s="516"/>
      <c r="K1176" s="515"/>
      <c r="L1176" s="515"/>
      <c r="M1176" s="514"/>
    </row>
    <row r="1177" spans="1:13">
      <c r="A1177" s="516"/>
      <c r="B1177" s="517"/>
      <c r="C1177" s="519"/>
      <c r="D1177" s="519"/>
      <c r="E1177" s="519"/>
      <c r="F1177" s="518"/>
      <c r="G1177" s="516"/>
      <c r="H1177" s="517"/>
      <c r="I1177" s="516"/>
      <c r="J1177" s="516"/>
      <c r="K1177" s="515"/>
      <c r="L1177" s="515"/>
      <c r="M1177" s="514"/>
    </row>
    <row r="1178" spans="1:13">
      <c r="A1178" s="516"/>
      <c r="B1178" s="517"/>
      <c r="C1178" s="519"/>
      <c r="D1178" s="519"/>
      <c r="E1178" s="519"/>
      <c r="F1178" s="518"/>
      <c r="G1178" s="516"/>
      <c r="H1178" s="517"/>
      <c r="I1178" s="516"/>
      <c r="J1178" s="516"/>
      <c r="K1178" s="515"/>
      <c r="L1178" s="515"/>
      <c r="M1178" s="514"/>
    </row>
    <row r="1179" spans="1:13">
      <c r="A1179" s="516"/>
      <c r="B1179" s="517"/>
      <c r="C1179" s="519"/>
      <c r="D1179" s="519"/>
      <c r="E1179" s="519"/>
      <c r="F1179" s="518"/>
      <c r="G1179" s="516"/>
      <c r="H1179" s="517"/>
      <c r="I1179" s="516"/>
      <c r="J1179" s="516"/>
      <c r="K1179" s="515"/>
      <c r="L1179" s="515"/>
      <c r="M1179" s="514"/>
    </row>
    <row r="1180" spans="1:13">
      <c r="A1180" s="516"/>
      <c r="B1180" s="517"/>
      <c r="C1180" s="519"/>
      <c r="D1180" s="519"/>
      <c r="E1180" s="519"/>
      <c r="F1180" s="518"/>
      <c r="G1180" s="516"/>
      <c r="H1180" s="517"/>
      <c r="I1180" s="516"/>
      <c r="J1180" s="516"/>
      <c r="K1180" s="515"/>
      <c r="L1180" s="515"/>
      <c r="M1180" s="514"/>
    </row>
    <row r="1181" spans="1:13">
      <c r="A1181" s="516"/>
      <c r="B1181" s="517"/>
      <c r="C1181" s="519"/>
      <c r="D1181" s="519"/>
      <c r="E1181" s="519"/>
      <c r="F1181" s="518"/>
      <c r="G1181" s="516"/>
      <c r="H1181" s="517"/>
      <c r="I1181" s="516"/>
      <c r="J1181" s="516"/>
      <c r="K1181" s="515"/>
      <c r="L1181" s="515"/>
      <c r="M1181" s="514"/>
    </row>
    <row r="1182" spans="1:13">
      <c r="A1182" s="516"/>
      <c r="B1182" s="517"/>
      <c r="C1182" s="519"/>
      <c r="D1182" s="519"/>
      <c r="E1182" s="519"/>
      <c r="F1182" s="518"/>
      <c r="G1182" s="516"/>
      <c r="H1182" s="517"/>
      <c r="I1182" s="516"/>
      <c r="J1182" s="516"/>
      <c r="K1182" s="515"/>
      <c r="L1182" s="515"/>
      <c r="M1182" s="514"/>
    </row>
    <row r="1183" spans="1:13">
      <c r="A1183" s="516"/>
      <c r="B1183" s="517"/>
      <c r="C1183" s="519"/>
      <c r="D1183" s="519"/>
      <c r="E1183" s="519"/>
      <c r="F1183" s="518"/>
      <c r="G1183" s="516"/>
      <c r="H1183" s="517"/>
      <c r="I1183" s="516"/>
      <c r="J1183" s="516"/>
      <c r="K1183" s="515"/>
      <c r="L1183" s="515"/>
      <c r="M1183" s="514"/>
    </row>
    <row r="1184" spans="1:13">
      <c r="A1184" s="516"/>
      <c r="B1184" s="517"/>
      <c r="C1184" s="519"/>
      <c r="D1184" s="519"/>
      <c r="E1184" s="519"/>
      <c r="F1184" s="518"/>
      <c r="G1184" s="516"/>
      <c r="H1184" s="517"/>
      <c r="I1184" s="516"/>
      <c r="J1184" s="516"/>
      <c r="K1184" s="515"/>
      <c r="L1184" s="515"/>
      <c r="M1184" s="514"/>
    </row>
    <row r="1185" spans="1:13">
      <c r="A1185" s="516"/>
      <c r="B1185" s="517"/>
      <c r="C1185" s="519"/>
      <c r="D1185" s="519"/>
      <c r="E1185" s="519"/>
      <c r="F1185" s="518"/>
      <c r="G1185" s="516"/>
      <c r="H1185" s="517"/>
      <c r="I1185" s="516"/>
      <c r="J1185" s="516"/>
      <c r="K1185" s="515"/>
      <c r="L1185" s="515"/>
      <c r="M1185" s="514"/>
    </row>
    <row r="1186" spans="1:13">
      <c r="A1186" s="516"/>
      <c r="B1186" s="517"/>
      <c r="C1186" s="519"/>
      <c r="D1186" s="519"/>
      <c r="E1186" s="519"/>
      <c r="F1186" s="518"/>
      <c r="G1186" s="516"/>
      <c r="H1186" s="517"/>
      <c r="I1186" s="516"/>
      <c r="J1186" s="516"/>
      <c r="K1186" s="515"/>
      <c r="L1186" s="515"/>
      <c r="M1186" s="514"/>
    </row>
    <row r="1187" spans="1:13">
      <c r="A1187" s="516"/>
      <c r="B1187" s="517"/>
      <c r="C1187" s="519"/>
      <c r="D1187" s="519"/>
      <c r="E1187" s="519"/>
      <c r="F1187" s="518"/>
      <c r="G1187" s="516"/>
      <c r="H1187" s="517"/>
      <c r="I1187" s="516"/>
      <c r="J1187" s="516"/>
      <c r="K1187" s="515"/>
      <c r="L1187" s="515"/>
      <c r="M1187" s="514"/>
    </row>
    <row r="1188" spans="1:13">
      <c r="A1188" s="516"/>
      <c r="B1188" s="517"/>
      <c r="C1188" s="519"/>
      <c r="D1188" s="519"/>
      <c r="E1188" s="519"/>
      <c r="F1188" s="518"/>
      <c r="G1188" s="516"/>
      <c r="H1188" s="517"/>
      <c r="I1188" s="516"/>
      <c r="J1188" s="516"/>
      <c r="K1188" s="515"/>
      <c r="L1188" s="515"/>
      <c r="M1188" s="514"/>
    </row>
    <row r="1189" spans="1:13">
      <c r="A1189" s="516"/>
      <c r="B1189" s="517"/>
      <c r="C1189" s="519"/>
      <c r="D1189" s="519"/>
      <c r="E1189" s="519"/>
      <c r="F1189" s="518"/>
      <c r="G1189" s="516"/>
      <c r="H1189" s="517"/>
      <c r="I1189" s="516"/>
      <c r="J1189" s="516"/>
      <c r="K1189" s="515"/>
      <c r="L1189" s="515"/>
      <c r="M1189" s="514"/>
    </row>
    <row r="1190" spans="1:13">
      <c r="A1190" s="516"/>
      <c r="B1190" s="517"/>
      <c r="C1190" s="519"/>
      <c r="D1190" s="519"/>
      <c r="E1190" s="519"/>
      <c r="F1190" s="518"/>
      <c r="G1190" s="516"/>
      <c r="H1190" s="517"/>
      <c r="I1190" s="516"/>
      <c r="J1190" s="516"/>
      <c r="K1190" s="515"/>
      <c r="L1190" s="515"/>
      <c r="M1190" s="514"/>
    </row>
    <row r="1191" spans="1:13">
      <c r="A1191" s="516"/>
      <c r="B1191" s="517"/>
      <c r="C1191" s="519"/>
      <c r="D1191" s="519"/>
      <c r="E1191" s="519"/>
      <c r="F1191" s="518"/>
      <c r="G1191" s="516"/>
      <c r="H1191" s="517"/>
      <c r="I1191" s="516"/>
      <c r="J1191" s="516"/>
      <c r="K1191" s="515"/>
      <c r="L1191" s="515"/>
      <c r="M1191" s="514"/>
    </row>
    <row r="1192" spans="1:13">
      <c r="A1192" s="516"/>
      <c r="B1192" s="517"/>
      <c r="C1192" s="519"/>
      <c r="D1192" s="519"/>
      <c r="E1192" s="519"/>
      <c r="F1192" s="518"/>
      <c r="G1192" s="516"/>
      <c r="H1192" s="517"/>
      <c r="I1192" s="516"/>
      <c r="J1192" s="516"/>
      <c r="K1192" s="515"/>
      <c r="L1192" s="515"/>
      <c r="M1192" s="514"/>
    </row>
    <row r="1193" spans="1:13">
      <c r="A1193" s="516"/>
      <c r="B1193" s="517"/>
      <c r="C1193" s="519"/>
      <c r="D1193" s="519"/>
      <c r="E1193" s="519"/>
      <c r="F1193" s="518"/>
      <c r="G1193" s="516"/>
      <c r="H1193" s="517"/>
      <c r="I1193" s="516"/>
      <c r="J1193" s="516"/>
      <c r="K1193" s="515"/>
      <c r="L1193" s="515"/>
      <c r="M1193" s="514"/>
    </row>
    <row r="1194" spans="1:13">
      <c r="A1194" s="516"/>
      <c r="B1194" s="517"/>
      <c r="C1194" s="519"/>
      <c r="D1194" s="519"/>
      <c r="E1194" s="519"/>
      <c r="F1194" s="518"/>
      <c r="G1194" s="516"/>
      <c r="H1194" s="517"/>
      <c r="I1194" s="516"/>
      <c r="J1194" s="516"/>
      <c r="K1194" s="515"/>
      <c r="L1194" s="515"/>
      <c r="M1194" s="514"/>
    </row>
    <row r="1195" spans="1:13">
      <c r="A1195" s="516"/>
      <c r="B1195" s="517"/>
      <c r="C1195" s="519"/>
      <c r="D1195" s="519"/>
      <c r="E1195" s="519"/>
      <c r="F1195" s="518"/>
      <c r="G1195" s="516"/>
      <c r="H1195" s="517"/>
      <c r="I1195" s="516"/>
      <c r="J1195" s="516"/>
      <c r="K1195" s="515"/>
      <c r="L1195" s="515"/>
      <c r="M1195" s="514"/>
    </row>
    <row r="1196" spans="1:13">
      <c r="A1196" s="516"/>
      <c r="B1196" s="517"/>
      <c r="C1196" s="519"/>
      <c r="D1196" s="519"/>
      <c r="E1196" s="519"/>
      <c r="F1196" s="518"/>
      <c r="G1196" s="516"/>
      <c r="H1196" s="517"/>
      <c r="I1196" s="516"/>
      <c r="J1196" s="516"/>
      <c r="K1196" s="515"/>
      <c r="L1196" s="515"/>
      <c r="M1196" s="514"/>
    </row>
    <row r="1197" spans="1:13">
      <c r="A1197" s="516"/>
      <c r="B1197" s="517"/>
      <c r="C1197" s="519"/>
      <c r="D1197" s="519"/>
      <c r="E1197" s="519"/>
      <c r="F1197" s="518"/>
      <c r="G1197" s="516"/>
      <c r="H1197" s="517"/>
      <c r="I1197" s="516"/>
      <c r="J1197" s="516"/>
      <c r="K1197" s="515"/>
      <c r="L1197" s="515"/>
      <c r="M1197" s="514"/>
    </row>
    <row r="1198" spans="1:13">
      <c r="A1198" s="516"/>
      <c r="B1198" s="517"/>
      <c r="C1198" s="519"/>
      <c r="D1198" s="519"/>
      <c r="E1198" s="519"/>
      <c r="F1198" s="518"/>
      <c r="G1198" s="516"/>
      <c r="H1198" s="517"/>
      <c r="I1198" s="516"/>
      <c r="J1198" s="516"/>
      <c r="K1198" s="515"/>
      <c r="L1198" s="515"/>
      <c r="M1198" s="514"/>
    </row>
    <row r="1199" spans="1:13">
      <c r="A1199" s="516"/>
      <c r="B1199" s="517"/>
      <c r="C1199" s="519"/>
      <c r="D1199" s="519"/>
      <c r="E1199" s="519"/>
      <c r="F1199" s="518"/>
      <c r="G1199" s="516"/>
      <c r="H1199" s="517"/>
      <c r="I1199" s="516"/>
      <c r="J1199" s="516"/>
      <c r="K1199" s="515"/>
      <c r="L1199" s="515"/>
      <c r="M1199" s="514"/>
    </row>
    <row r="1200" spans="1:13">
      <c r="A1200" s="516"/>
      <c r="B1200" s="517"/>
      <c r="C1200" s="519"/>
      <c r="D1200" s="519"/>
      <c r="E1200" s="519"/>
      <c r="F1200" s="518"/>
      <c r="G1200" s="516"/>
      <c r="H1200" s="517"/>
      <c r="I1200" s="516"/>
      <c r="J1200" s="516"/>
      <c r="K1200" s="515"/>
      <c r="L1200" s="515"/>
      <c r="M1200" s="514"/>
    </row>
    <row r="1201" spans="1:13">
      <c r="A1201" s="516"/>
      <c r="B1201" s="517"/>
      <c r="C1201" s="519"/>
      <c r="D1201" s="519"/>
      <c r="E1201" s="519"/>
      <c r="F1201" s="518"/>
      <c r="G1201" s="516"/>
      <c r="H1201" s="517"/>
      <c r="I1201" s="516"/>
      <c r="J1201" s="516"/>
      <c r="K1201" s="515"/>
      <c r="L1201" s="515"/>
      <c r="M1201" s="514"/>
    </row>
    <row r="1202" spans="1:13">
      <c r="A1202" s="516"/>
      <c r="B1202" s="517"/>
      <c r="C1202" s="519"/>
      <c r="D1202" s="519"/>
      <c r="E1202" s="519"/>
      <c r="F1202" s="518"/>
      <c r="G1202" s="516"/>
      <c r="H1202" s="517"/>
      <c r="I1202" s="516"/>
      <c r="J1202" s="516"/>
      <c r="K1202" s="515"/>
      <c r="L1202" s="515"/>
      <c r="M1202" s="514"/>
    </row>
    <row r="1203" spans="1:13">
      <c r="A1203" s="516"/>
      <c r="B1203" s="517"/>
      <c r="C1203" s="519"/>
      <c r="D1203" s="519"/>
      <c r="E1203" s="519"/>
      <c r="F1203" s="518"/>
      <c r="G1203" s="516"/>
      <c r="H1203" s="517"/>
      <c r="I1203" s="516"/>
      <c r="J1203" s="516"/>
      <c r="K1203" s="515"/>
      <c r="L1203" s="515"/>
      <c r="M1203" s="514"/>
    </row>
    <row r="1204" spans="1:13">
      <c r="A1204" s="516"/>
      <c r="B1204" s="517"/>
      <c r="C1204" s="519"/>
      <c r="D1204" s="519"/>
      <c r="E1204" s="519"/>
      <c r="F1204" s="518"/>
      <c r="G1204" s="516"/>
      <c r="H1204" s="517"/>
      <c r="I1204" s="516"/>
      <c r="J1204" s="516"/>
      <c r="K1204" s="515"/>
      <c r="L1204" s="515"/>
      <c r="M1204" s="514"/>
    </row>
    <row r="1205" spans="1:13">
      <c r="A1205" s="516"/>
      <c r="B1205" s="517"/>
      <c r="C1205" s="519"/>
      <c r="D1205" s="519"/>
      <c r="E1205" s="519"/>
      <c r="F1205" s="518"/>
      <c r="G1205" s="516"/>
      <c r="H1205" s="517"/>
      <c r="I1205" s="516"/>
      <c r="J1205" s="516"/>
      <c r="K1205" s="515"/>
      <c r="L1205" s="515"/>
      <c r="M1205" s="514"/>
    </row>
    <row r="1206" spans="1:13">
      <c r="A1206" s="516"/>
      <c r="B1206" s="517"/>
      <c r="C1206" s="519"/>
      <c r="D1206" s="519"/>
      <c r="E1206" s="519"/>
      <c r="F1206" s="518"/>
      <c r="G1206" s="516"/>
      <c r="H1206" s="517"/>
      <c r="I1206" s="516"/>
      <c r="J1206" s="516"/>
      <c r="K1206" s="515"/>
      <c r="L1206" s="515"/>
      <c r="M1206" s="514"/>
    </row>
    <row r="1207" spans="1:13">
      <c r="A1207" s="516"/>
      <c r="B1207" s="517"/>
      <c r="C1207" s="519"/>
      <c r="D1207" s="519"/>
      <c r="E1207" s="519"/>
      <c r="F1207" s="518"/>
      <c r="G1207" s="516"/>
      <c r="H1207" s="517"/>
      <c r="I1207" s="516"/>
      <c r="J1207" s="516"/>
      <c r="K1207" s="515"/>
      <c r="L1207" s="515"/>
      <c r="M1207" s="514"/>
    </row>
    <row r="1208" spans="1:13">
      <c r="A1208" s="516"/>
      <c r="B1208" s="517"/>
      <c r="C1208" s="519"/>
      <c r="D1208" s="519"/>
      <c r="E1208" s="519"/>
      <c r="F1208" s="518"/>
      <c r="G1208" s="516"/>
      <c r="H1208" s="517"/>
      <c r="I1208" s="516"/>
      <c r="J1208" s="516"/>
      <c r="K1208" s="515"/>
      <c r="L1208" s="515"/>
      <c r="M1208" s="514"/>
    </row>
    <row r="1209" spans="1:13">
      <c r="A1209" s="516"/>
      <c r="B1209" s="517"/>
      <c r="C1209" s="519"/>
      <c r="D1209" s="519"/>
      <c r="E1209" s="519"/>
      <c r="F1209" s="518"/>
      <c r="G1209" s="516"/>
      <c r="H1209" s="517"/>
      <c r="I1209" s="516"/>
      <c r="J1209" s="516"/>
      <c r="K1209" s="515"/>
      <c r="L1209" s="515"/>
      <c r="M1209" s="514"/>
    </row>
    <row r="1210" spans="1:13">
      <c r="A1210" s="516"/>
      <c r="B1210" s="517"/>
      <c r="C1210" s="519"/>
      <c r="D1210" s="519"/>
      <c r="E1210" s="519"/>
      <c r="F1210" s="518"/>
      <c r="G1210" s="516"/>
      <c r="H1210" s="517"/>
      <c r="I1210" s="516"/>
      <c r="J1210" s="516"/>
      <c r="K1210" s="515"/>
      <c r="L1210" s="515"/>
      <c r="M1210" s="514"/>
    </row>
    <row r="1211" spans="1:13">
      <c r="A1211" s="516"/>
      <c r="B1211" s="517"/>
      <c r="C1211" s="519"/>
      <c r="D1211" s="519"/>
      <c r="E1211" s="519"/>
      <c r="F1211" s="518"/>
      <c r="G1211" s="516"/>
      <c r="H1211" s="517"/>
      <c r="I1211" s="516"/>
      <c r="J1211" s="516"/>
      <c r="K1211" s="515"/>
      <c r="L1211" s="515"/>
      <c r="M1211" s="514"/>
    </row>
    <row r="1212" spans="1:13">
      <c r="A1212" s="516"/>
      <c r="B1212" s="517"/>
      <c r="C1212" s="519"/>
      <c r="D1212" s="519"/>
      <c r="E1212" s="519"/>
      <c r="F1212" s="518"/>
      <c r="G1212" s="516"/>
      <c r="H1212" s="517"/>
      <c r="I1212" s="516"/>
      <c r="J1212" s="516"/>
      <c r="K1212" s="515"/>
      <c r="L1212" s="515"/>
      <c r="M1212" s="514"/>
    </row>
    <row r="1213" spans="1:13">
      <c r="A1213" s="516"/>
      <c r="B1213" s="517"/>
      <c r="C1213" s="519"/>
      <c r="D1213" s="519"/>
      <c r="E1213" s="519"/>
      <c r="F1213" s="518"/>
      <c r="G1213" s="516"/>
      <c r="H1213" s="517"/>
      <c r="I1213" s="516"/>
      <c r="J1213" s="516"/>
      <c r="K1213" s="515"/>
      <c r="L1213" s="515"/>
      <c r="M1213" s="514"/>
    </row>
    <row r="1214" spans="1:13">
      <c r="A1214" s="516"/>
      <c r="B1214" s="517"/>
      <c r="C1214" s="519"/>
      <c r="D1214" s="519"/>
      <c r="E1214" s="519"/>
      <c r="F1214" s="518"/>
      <c r="G1214" s="516"/>
      <c r="H1214" s="517"/>
      <c r="I1214" s="516"/>
      <c r="J1214" s="516"/>
      <c r="K1214" s="515"/>
      <c r="L1214" s="515"/>
      <c r="M1214" s="514"/>
    </row>
    <row r="1215" spans="1:13">
      <c r="A1215" s="516"/>
      <c r="B1215" s="517"/>
      <c r="C1215" s="519"/>
      <c r="D1215" s="519"/>
      <c r="E1215" s="519"/>
      <c r="F1215" s="518"/>
      <c r="G1215" s="516"/>
      <c r="H1215" s="517"/>
      <c r="I1215" s="516"/>
      <c r="J1215" s="516"/>
      <c r="K1215" s="515"/>
      <c r="L1215" s="515"/>
      <c r="M1215" s="514"/>
    </row>
    <row r="1216" spans="1:13">
      <c r="A1216" s="516"/>
      <c r="B1216" s="517"/>
      <c r="C1216" s="519"/>
      <c r="D1216" s="519"/>
      <c r="E1216" s="519"/>
      <c r="F1216" s="518"/>
      <c r="G1216" s="516"/>
      <c r="H1216" s="517"/>
      <c r="I1216" s="516"/>
      <c r="J1216" s="516"/>
      <c r="K1216" s="515"/>
      <c r="L1216" s="515"/>
      <c r="M1216" s="514"/>
    </row>
    <row r="1217" spans="1:13">
      <c r="A1217" s="516"/>
      <c r="B1217" s="517"/>
      <c r="C1217" s="519"/>
      <c r="D1217" s="519"/>
      <c r="E1217" s="519"/>
      <c r="F1217" s="518"/>
      <c r="G1217" s="516"/>
      <c r="H1217" s="517"/>
      <c r="I1217" s="516"/>
      <c r="J1217" s="516"/>
      <c r="K1217" s="515"/>
      <c r="L1217" s="515"/>
      <c r="M1217" s="514"/>
    </row>
    <row r="1218" spans="1:13">
      <c r="A1218" s="516"/>
      <c r="B1218" s="517"/>
      <c r="C1218" s="519"/>
      <c r="D1218" s="519"/>
      <c r="E1218" s="519"/>
      <c r="F1218" s="518"/>
      <c r="G1218" s="516"/>
      <c r="H1218" s="517"/>
      <c r="I1218" s="516"/>
      <c r="J1218" s="516"/>
      <c r="K1218" s="515"/>
      <c r="L1218" s="515"/>
      <c r="M1218" s="514"/>
    </row>
    <row r="1219" spans="1:13">
      <c r="A1219" s="516"/>
      <c r="B1219" s="517"/>
      <c r="C1219" s="519"/>
      <c r="D1219" s="519"/>
      <c r="E1219" s="519"/>
      <c r="F1219" s="518"/>
      <c r="G1219" s="516"/>
      <c r="H1219" s="517"/>
      <c r="I1219" s="516"/>
      <c r="J1219" s="516"/>
      <c r="K1219" s="515"/>
      <c r="L1219" s="515"/>
      <c r="M1219" s="514"/>
    </row>
    <row r="1220" spans="1:13">
      <c r="A1220" s="516"/>
      <c r="B1220" s="517"/>
      <c r="C1220" s="519"/>
      <c r="D1220" s="519"/>
      <c r="E1220" s="519"/>
      <c r="F1220" s="518"/>
      <c r="G1220" s="516"/>
      <c r="H1220" s="517"/>
      <c r="I1220" s="516"/>
      <c r="J1220" s="516"/>
      <c r="K1220" s="515"/>
      <c r="L1220" s="515"/>
      <c r="M1220" s="514"/>
    </row>
    <row r="1221" spans="1:13">
      <c r="A1221" s="516"/>
      <c r="B1221" s="517"/>
      <c r="C1221" s="519"/>
      <c r="D1221" s="519"/>
      <c r="E1221" s="519"/>
      <c r="F1221" s="518"/>
      <c r="G1221" s="516"/>
      <c r="H1221" s="517"/>
      <c r="I1221" s="516"/>
      <c r="J1221" s="516"/>
      <c r="K1221" s="515"/>
      <c r="L1221" s="515"/>
      <c r="M1221" s="514"/>
    </row>
    <row r="1222" spans="1:13">
      <c r="A1222" s="516"/>
      <c r="B1222" s="517"/>
      <c r="C1222" s="519"/>
      <c r="D1222" s="519"/>
      <c r="E1222" s="519"/>
      <c r="F1222" s="518"/>
      <c r="G1222" s="516"/>
      <c r="H1222" s="517"/>
      <c r="I1222" s="516"/>
      <c r="J1222" s="516"/>
      <c r="K1222" s="515"/>
      <c r="L1222" s="515"/>
      <c r="M1222" s="514"/>
    </row>
    <row r="1223" spans="1:13">
      <c r="A1223" s="516"/>
      <c r="B1223" s="517"/>
      <c r="C1223" s="519"/>
      <c r="D1223" s="519"/>
      <c r="E1223" s="519"/>
      <c r="F1223" s="518"/>
      <c r="G1223" s="516"/>
      <c r="H1223" s="517"/>
      <c r="I1223" s="516"/>
      <c r="J1223" s="516"/>
      <c r="K1223" s="515"/>
      <c r="L1223" s="515"/>
      <c r="M1223" s="514"/>
    </row>
    <row r="1224" spans="1:13">
      <c r="A1224" s="516"/>
      <c r="B1224" s="517"/>
      <c r="C1224" s="519"/>
      <c r="D1224" s="519"/>
      <c r="E1224" s="519"/>
      <c r="F1224" s="518"/>
      <c r="G1224" s="516"/>
      <c r="H1224" s="517"/>
      <c r="I1224" s="516"/>
      <c r="J1224" s="516"/>
      <c r="K1224" s="515"/>
      <c r="L1224" s="515"/>
      <c r="M1224" s="514"/>
    </row>
    <row r="1225" spans="1:13">
      <c r="A1225" s="516"/>
      <c r="B1225" s="517"/>
      <c r="C1225" s="519"/>
      <c r="D1225" s="519"/>
      <c r="E1225" s="519"/>
      <c r="F1225" s="518"/>
      <c r="G1225" s="516"/>
      <c r="H1225" s="517"/>
      <c r="I1225" s="516"/>
      <c r="J1225" s="516"/>
      <c r="K1225" s="515"/>
      <c r="L1225" s="515"/>
      <c r="M1225" s="514"/>
    </row>
    <row r="1226" spans="1:13">
      <c r="A1226" s="516"/>
      <c r="B1226" s="517"/>
      <c r="C1226" s="519"/>
      <c r="D1226" s="519"/>
      <c r="E1226" s="519"/>
      <c r="F1226" s="518"/>
      <c r="G1226" s="516"/>
      <c r="H1226" s="517"/>
      <c r="I1226" s="516"/>
      <c r="J1226" s="516"/>
      <c r="K1226" s="515"/>
      <c r="L1226" s="515"/>
      <c r="M1226" s="514"/>
    </row>
    <row r="1227" spans="1:13">
      <c r="A1227" s="516"/>
      <c r="B1227" s="517"/>
      <c r="C1227" s="519"/>
      <c r="D1227" s="519"/>
      <c r="E1227" s="519"/>
      <c r="F1227" s="518"/>
      <c r="G1227" s="516"/>
      <c r="H1227" s="517"/>
      <c r="I1227" s="516"/>
      <c r="J1227" s="516"/>
      <c r="K1227" s="515"/>
      <c r="L1227" s="515"/>
      <c r="M1227" s="514"/>
    </row>
    <row r="1228" spans="1:13">
      <c r="A1228" s="516"/>
      <c r="B1228" s="517"/>
      <c r="C1228" s="519"/>
      <c r="D1228" s="519"/>
      <c r="E1228" s="519"/>
      <c r="F1228" s="518"/>
      <c r="G1228" s="516"/>
      <c r="H1228" s="517"/>
      <c r="I1228" s="516"/>
      <c r="J1228" s="516"/>
      <c r="K1228" s="515"/>
      <c r="L1228" s="515"/>
      <c r="M1228" s="514"/>
    </row>
    <row r="1229" spans="1:13">
      <c r="A1229" s="516"/>
      <c r="B1229" s="517"/>
      <c r="C1229" s="519"/>
      <c r="D1229" s="519"/>
      <c r="E1229" s="519"/>
      <c r="F1229" s="518"/>
      <c r="G1229" s="516"/>
      <c r="H1229" s="517"/>
      <c r="I1229" s="516"/>
      <c r="J1229" s="516"/>
      <c r="K1229" s="515"/>
      <c r="L1229" s="515"/>
      <c r="M1229" s="514"/>
    </row>
    <row r="1230" spans="1:13">
      <c r="A1230" s="516"/>
      <c r="B1230" s="517"/>
      <c r="C1230" s="519"/>
      <c r="D1230" s="519"/>
      <c r="E1230" s="519"/>
      <c r="F1230" s="518"/>
      <c r="G1230" s="516"/>
      <c r="H1230" s="517"/>
      <c r="I1230" s="516"/>
      <c r="J1230" s="516"/>
      <c r="K1230" s="515"/>
      <c r="L1230" s="515"/>
      <c r="M1230" s="514"/>
    </row>
    <row r="1231" spans="1:13">
      <c r="A1231" s="516"/>
      <c r="B1231" s="517"/>
      <c r="C1231" s="519"/>
      <c r="D1231" s="519"/>
      <c r="E1231" s="519"/>
      <c r="F1231" s="518"/>
      <c r="G1231" s="516"/>
      <c r="H1231" s="517"/>
      <c r="I1231" s="516"/>
      <c r="J1231" s="516"/>
      <c r="K1231" s="515"/>
      <c r="L1231" s="515"/>
      <c r="M1231" s="514"/>
    </row>
    <row r="1232" spans="1:13">
      <c r="A1232" s="516"/>
      <c r="B1232" s="517"/>
      <c r="C1232" s="519"/>
      <c r="D1232" s="519"/>
      <c r="E1232" s="519"/>
      <c r="F1232" s="518"/>
      <c r="G1232" s="516"/>
      <c r="H1232" s="517"/>
      <c r="I1232" s="516"/>
      <c r="J1232" s="516"/>
      <c r="K1232" s="515"/>
      <c r="L1232" s="515"/>
      <c r="M1232" s="514"/>
    </row>
    <row r="1233" spans="1:13">
      <c r="A1233" s="516"/>
      <c r="B1233" s="517"/>
      <c r="C1233" s="519"/>
      <c r="D1233" s="519"/>
      <c r="E1233" s="519"/>
      <c r="F1233" s="518"/>
      <c r="G1233" s="516"/>
      <c r="H1233" s="517"/>
      <c r="I1233" s="516"/>
      <c r="J1233" s="516"/>
      <c r="K1233" s="515"/>
      <c r="L1233" s="515"/>
      <c r="M1233" s="514"/>
    </row>
    <row r="1234" spans="1:13">
      <c r="A1234" s="516"/>
      <c r="B1234" s="517"/>
      <c r="C1234" s="519"/>
      <c r="D1234" s="519"/>
      <c r="E1234" s="519"/>
      <c r="F1234" s="518"/>
      <c r="G1234" s="516"/>
      <c r="H1234" s="517"/>
      <c r="I1234" s="516"/>
      <c r="J1234" s="516"/>
      <c r="K1234" s="515"/>
      <c r="L1234" s="515"/>
      <c r="M1234" s="514"/>
    </row>
    <row r="1235" spans="1:13">
      <c r="A1235" s="516"/>
      <c r="B1235" s="517"/>
      <c r="C1235" s="519"/>
      <c r="D1235" s="519"/>
      <c r="E1235" s="519"/>
      <c r="F1235" s="518"/>
      <c r="G1235" s="516"/>
      <c r="H1235" s="517"/>
      <c r="I1235" s="516"/>
      <c r="J1235" s="516"/>
      <c r="K1235" s="515"/>
      <c r="L1235" s="515"/>
      <c r="M1235" s="514"/>
    </row>
    <row r="1236" spans="1:13">
      <c r="A1236" s="516"/>
      <c r="B1236" s="517"/>
      <c r="C1236" s="519"/>
      <c r="D1236" s="519"/>
      <c r="E1236" s="519"/>
      <c r="F1236" s="518"/>
      <c r="G1236" s="516"/>
      <c r="H1236" s="517"/>
      <c r="I1236" s="516"/>
      <c r="J1236" s="516"/>
      <c r="K1236" s="515"/>
      <c r="L1236" s="515"/>
      <c r="M1236" s="514"/>
    </row>
    <row r="1237" spans="1:13">
      <c r="A1237" s="516"/>
      <c r="B1237" s="517"/>
      <c r="C1237" s="519"/>
      <c r="D1237" s="519"/>
      <c r="E1237" s="519"/>
      <c r="F1237" s="518"/>
      <c r="G1237" s="516"/>
      <c r="H1237" s="517"/>
      <c r="I1237" s="516"/>
      <c r="J1237" s="516"/>
      <c r="K1237" s="515"/>
      <c r="L1237" s="515"/>
      <c r="M1237" s="514"/>
    </row>
    <row r="1238" spans="1:13">
      <c r="A1238" s="516"/>
      <c r="B1238" s="517"/>
      <c r="C1238" s="519"/>
      <c r="D1238" s="519"/>
      <c r="E1238" s="519"/>
      <c r="F1238" s="518"/>
      <c r="G1238" s="516"/>
      <c r="H1238" s="517"/>
      <c r="I1238" s="516"/>
      <c r="J1238" s="516"/>
      <c r="K1238" s="515"/>
      <c r="L1238" s="515"/>
      <c r="M1238" s="514"/>
    </row>
    <row r="1239" spans="1:13">
      <c r="A1239" s="516"/>
      <c r="B1239" s="517"/>
      <c r="C1239" s="519"/>
      <c r="D1239" s="519"/>
      <c r="E1239" s="519"/>
      <c r="F1239" s="518"/>
      <c r="G1239" s="516"/>
      <c r="H1239" s="517"/>
      <c r="I1239" s="516"/>
      <c r="J1239" s="516"/>
      <c r="K1239" s="515"/>
      <c r="L1239" s="515"/>
      <c r="M1239" s="514"/>
    </row>
    <row r="1240" spans="1:13">
      <c r="A1240" s="516"/>
      <c r="B1240" s="517"/>
      <c r="C1240" s="519"/>
      <c r="D1240" s="519"/>
      <c r="E1240" s="519"/>
      <c r="F1240" s="518"/>
      <c r="G1240" s="516"/>
      <c r="H1240" s="517"/>
      <c r="I1240" s="516"/>
      <c r="J1240" s="516"/>
      <c r="K1240" s="515"/>
      <c r="L1240" s="515"/>
      <c r="M1240" s="514"/>
    </row>
    <row r="1241" spans="1:13">
      <c r="A1241" s="516"/>
      <c r="B1241" s="517"/>
      <c r="C1241" s="519"/>
      <c r="D1241" s="519"/>
      <c r="E1241" s="519"/>
      <c r="F1241" s="518"/>
      <c r="G1241" s="516"/>
      <c r="H1241" s="517"/>
      <c r="I1241" s="516"/>
      <c r="J1241" s="516"/>
      <c r="K1241" s="515"/>
      <c r="L1241" s="515"/>
      <c r="M1241" s="514"/>
    </row>
    <row r="1242" spans="1:13">
      <c r="A1242" s="516"/>
      <c r="B1242" s="517"/>
      <c r="C1242" s="519"/>
      <c r="D1242" s="519"/>
      <c r="E1242" s="519"/>
      <c r="F1242" s="518"/>
      <c r="G1242" s="516"/>
      <c r="H1242" s="517"/>
      <c r="I1242" s="516"/>
      <c r="J1242" s="516"/>
      <c r="K1242" s="515"/>
      <c r="L1242" s="515"/>
      <c r="M1242" s="514"/>
    </row>
    <row r="1243" spans="1:13">
      <c r="A1243" s="516"/>
      <c r="B1243" s="517"/>
      <c r="C1243" s="519"/>
      <c r="D1243" s="519"/>
      <c r="E1243" s="519"/>
      <c r="F1243" s="518"/>
      <c r="G1243" s="516"/>
      <c r="H1243" s="517"/>
      <c r="I1243" s="516"/>
      <c r="J1243" s="516"/>
      <c r="K1243" s="515"/>
      <c r="L1243" s="515"/>
      <c r="M1243" s="514"/>
    </row>
    <row r="1244" spans="1:13">
      <c r="A1244" s="516"/>
      <c r="B1244" s="517"/>
      <c r="C1244" s="519"/>
      <c r="D1244" s="519"/>
      <c r="E1244" s="519"/>
      <c r="F1244" s="518"/>
      <c r="G1244" s="516"/>
      <c r="H1244" s="517"/>
      <c r="I1244" s="516"/>
      <c r="J1244" s="516"/>
      <c r="K1244" s="515"/>
      <c r="L1244" s="515"/>
      <c r="M1244" s="514"/>
    </row>
    <row r="1245" spans="1:13">
      <c r="A1245" s="516"/>
      <c r="B1245" s="517"/>
      <c r="C1245" s="519"/>
      <c r="D1245" s="519"/>
      <c r="E1245" s="519"/>
      <c r="F1245" s="518"/>
      <c r="G1245" s="516"/>
      <c r="H1245" s="517"/>
      <c r="I1245" s="516"/>
      <c r="J1245" s="516"/>
      <c r="K1245" s="515"/>
      <c r="L1245" s="515"/>
      <c r="M1245" s="514"/>
    </row>
    <row r="1246" spans="1:13">
      <c r="A1246" s="516"/>
      <c r="B1246" s="517"/>
      <c r="C1246" s="519"/>
      <c r="D1246" s="519"/>
      <c r="E1246" s="519"/>
      <c r="F1246" s="518"/>
      <c r="G1246" s="516"/>
      <c r="H1246" s="517"/>
      <c r="I1246" s="516"/>
      <c r="J1246" s="516"/>
      <c r="K1246" s="515"/>
      <c r="L1246" s="515"/>
      <c r="M1246" s="514"/>
    </row>
    <row r="1247" spans="1:13">
      <c r="A1247" s="516"/>
      <c r="B1247" s="517"/>
      <c r="C1247" s="519"/>
      <c r="D1247" s="519"/>
      <c r="E1247" s="519"/>
      <c r="F1247" s="518"/>
      <c r="G1247" s="516"/>
      <c r="H1247" s="517"/>
      <c r="I1247" s="516"/>
      <c r="J1247" s="516"/>
      <c r="K1247" s="515"/>
      <c r="L1247" s="515"/>
      <c r="M1247" s="514"/>
    </row>
    <row r="1248" spans="1:13">
      <c r="A1248" s="516"/>
      <c r="B1248" s="517"/>
      <c r="C1248" s="519"/>
      <c r="D1248" s="519"/>
      <c r="E1248" s="519"/>
      <c r="F1248" s="518"/>
      <c r="G1248" s="516"/>
      <c r="H1248" s="517"/>
      <c r="I1248" s="516"/>
      <c r="J1248" s="516"/>
      <c r="K1248" s="515"/>
      <c r="L1248" s="515"/>
      <c r="M1248" s="514"/>
    </row>
    <row r="1249" spans="1:13">
      <c r="A1249" s="516"/>
      <c r="B1249" s="517"/>
      <c r="C1249" s="519"/>
      <c r="D1249" s="519"/>
      <c r="E1249" s="519"/>
      <c r="F1249" s="518"/>
      <c r="G1249" s="516"/>
      <c r="H1249" s="517"/>
      <c r="I1249" s="516"/>
      <c r="J1249" s="516"/>
      <c r="K1249" s="515"/>
      <c r="L1249" s="515"/>
      <c r="M1249" s="514"/>
    </row>
    <row r="1250" spans="1:13">
      <c r="A1250" s="516"/>
      <c r="B1250" s="517"/>
      <c r="C1250" s="519"/>
      <c r="D1250" s="519"/>
      <c r="E1250" s="519"/>
      <c r="F1250" s="518"/>
      <c r="G1250" s="516"/>
      <c r="H1250" s="517"/>
      <c r="I1250" s="516"/>
      <c r="J1250" s="516"/>
      <c r="K1250" s="515"/>
      <c r="L1250" s="515"/>
      <c r="M1250" s="514"/>
    </row>
    <row r="1251" spans="1:13">
      <c r="A1251" s="516"/>
      <c r="B1251" s="517"/>
      <c r="C1251" s="519"/>
      <c r="D1251" s="519"/>
      <c r="E1251" s="519"/>
      <c r="F1251" s="518"/>
      <c r="G1251" s="516"/>
      <c r="H1251" s="517"/>
      <c r="I1251" s="516"/>
      <c r="J1251" s="516"/>
      <c r="K1251" s="515"/>
      <c r="L1251" s="515"/>
      <c r="M1251" s="514"/>
    </row>
    <row r="1252" spans="1:13">
      <c r="A1252" s="516"/>
      <c r="B1252" s="517"/>
      <c r="C1252" s="519"/>
      <c r="D1252" s="519"/>
      <c r="E1252" s="519"/>
      <c r="F1252" s="518"/>
      <c r="G1252" s="516"/>
      <c r="H1252" s="517"/>
      <c r="I1252" s="516"/>
      <c r="J1252" s="516"/>
      <c r="K1252" s="515"/>
      <c r="L1252" s="515"/>
      <c r="M1252" s="514"/>
    </row>
    <row r="1253" spans="1:13">
      <c r="A1253" s="516"/>
      <c r="B1253" s="517"/>
      <c r="C1253" s="519"/>
      <c r="D1253" s="519"/>
      <c r="E1253" s="519"/>
      <c r="F1253" s="518"/>
      <c r="G1253" s="516"/>
      <c r="H1253" s="517"/>
      <c r="I1253" s="516"/>
      <c r="J1253" s="516"/>
      <c r="K1253" s="515"/>
      <c r="L1253" s="515"/>
      <c r="M1253" s="514"/>
    </row>
    <row r="1254" spans="1:13">
      <c r="A1254" s="516"/>
      <c r="B1254" s="517"/>
      <c r="C1254" s="519"/>
      <c r="D1254" s="519"/>
      <c r="E1254" s="519"/>
      <c r="F1254" s="518"/>
      <c r="G1254" s="516"/>
      <c r="H1254" s="517"/>
      <c r="I1254" s="516"/>
      <c r="J1254" s="516"/>
      <c r="K1254" s="515"/>
      <c r="L1254" s="515"/>
      <c r="M1254" s="514"/>
    </row>
    <row r="1255" spans="1:13">
      <c r="A1255" s="516"/>
      <c r="B1255" s="517"/>
      <c r="C1255" s="519"/>
      <c r="D1255" s="519"/>
      <c r="E1255" s="519"/>
      <c r="F1255" s="518"/>
      <c r="G1255" s="516"/>
      <c r="H1255" s="517"/>
      <c r="I1255" s="516"/>
      <c r="J1255" s="516"/>
      <c r="K1255" s="515"/>
      <c r="L1255" s="515"/>
      <c r="M1255" s="514"/>
    </row>
    <row r="1256" spans="1:13">
      <c r="A1256" s="516"/>
      <c r="B1256" s="517"/>
      <c r="C1256" s="519"/>
      <c r="D1256" s="519"/>
      <c r="E1256" s="519"/>
      <c r="F1256" s="518"/>
      <c r="G1256" s="516"/>
      <c r="H1256" s="517"/>
      <c r="I1256" s="516"/>
      <c r="J1256" s="516"/>
      <c r="K1256" s="515"/>
      <c r="L1256" s="515"/>
      <c r="M1256" s="514"/>
    </row>
    <row r="1257" spans="1:13">
      <c r="A1257" s="516"/>
      <c r="B1257" s="517"/>
      <c r="C1257" s="519"/>
      <c r="D1257" s="519"/>
      <c r="E1257" s="519"/>
      <c r="F1257" s="518"/>
      <c r="G1257" s="516"/>
      <c r="H1257" s="517"/>
      <c r="I1257" s="516"/>
      <c r="J1257" s="516"/>
      <c r="K1257" s="515"/>
      <c r="L1257" s="515"/>
      <c r="M1257" s="514"/>
    </row>
    <row r="1258" spans="1:13">
      <c r="A1258" s="516"/>
      <c r="B1258" s="517"/>
      <c r="C1258" s="519"/>
      <c r="D1258" s="519"/>
      <c r="E1258" s="519"/>
      <c r="F1258" s="518"/>
      <c r="G1258" s="516"/>
      <c r="H1258" s="517"/>
      <c r="I1258" s="516"/>
      <c r="J1258" s="516"/>
      <c r="K1258" s="515"/>
      <c r="L1258" s="515"/>
      <c r="M1258" s="514"/>
    </row>
    <row r="1259" spans="1:13">
      <c r="A1259" s="516"/>
      <c r="B1259" s="517"/>
      <c r="C1259" s="519"/>
      <c r="D1259" s="519"/>
      <c r="E1259" s="519"/>
      <c r="F1259" s="518"/>
      <c r="G1259" s="516"/>
      <c r="H1259" s="517"/>
      <c r="I1259" s="516"/>
      <c r="J1259" s="516"/>
      <c r="K1259" s="515"/>
      <c r="L1259" s="515"/>
      <c r="M1259" s="514"/>
    </row>
    <row r="1260" spans="1:13">
      <c r="A1260" s="516"/>
      <c r="B1260" s="517"/>
      <c r="C1260" s="519"/>
      <c r="D1260" s="519"/>
      <c r="E1260" s="519"/>
      <c r="F1260" s="518"/>
      <c r="G1260" s="516"/>
      <c r="H1260" s="517"/>
      <c r="I1260" s="516"/>
      <c r="J1260" s="516"/>
      <c r="K1260" s="515"/>
      <c r="L1260" s="515"/>
      <c r="M1260" s="514"/>
    </row>
    <row r="1261" spans="1:13">
      <c r="A1261" s="516"/>
      <c r="B1261" s="517"/>
      <c r="C1261" s="519"/>
      <c r="D1261" s="519"/>
      <c r="E1261" s="519"/>
      <c r="F1261" s="518"/>
      <c r="G1261" s="516"/>
      <c r="H1261" s="517"/>
      <c r="I1261" s="516"/>
      <c r="J1261" s="516"/>
      <c r="K1261" s="515"/>
      <c r="L1261" s="515"/>
      <c r="M1261" s="514"/>
    </row>
    <row r="1262" spans="1:13">
      <c r="A1262" s="516"/>
      <c r="B1262" s="517"/>
      <c r="C1262" s="519"/>
      <c r="D1262" s="519"/>
      <c r="E1262" s="519"/>
      <c r="F1262" s="518"/>
      <c r="G1262" s="516"/>
      <c r="H1262" s="517"/>
      <c r="I1262" s="516"/>
      <c r="J1262" s="516"/>
      <c r="K1262" s="515"/>
      <c r="L1262" s="515"/>
      <c r="M1262" s="514"/>
    </row>
    <row r="1263" spans="1:13">
      <c r="A1263" s="516"/>
      <c r="B1263" s="517"/>
      <c r="C1263" s="519"/>
      <c r="D1263" s="519"/>
      <c r="E1263" s="519"/>
      <c r="F1263" s="518"/>
      <c r="G1263" s="516"/>
      <c r="H1263" s="517"/>
      <c r="I1263" s="516"/>
      <c r="J1263" s="516"/>
      <c r="K1263" s="515"/>
      <c r="L1263" s="515"/>
      <c r="M1263" s="514"/>
    </row>
    <row r="1264" spans="1:13">
      <c r="A1264" s="516"/>
      <c r="B1264" s="517"/>
      <c r="C1264" s="519"/>
      <c r="D1264" s="519"/>
      <c r="E1264" s="519"/>
      <c r="F1264" s="518"/>
      <c r="G1264" s="516"/>
      <c r="H1264" s="517"/>
      <c r="I1264" s="516"/>
      <c r="J1264" s="516"/>
      <c r="K1264" s="515"/>
      <c r="L1264" s="515"/>
      <c r="M1264" s="514"/>
    </row>
    <row r="1265" spans="1:13">
      <c r="A1265" s="516"/>
      <c r="B1265" s="517"/>
      <c r="C1265" s="519"/>
      <c r="D1265" s="519"/>
      <c r="E1265" s="519"/>
      <c r="F1265" s="518"/>
      <c r="G1265" s="516"/>
      <c r="H1265" s="517"/>
      <c r="I1265" s="516"/>
      <c r="J1265" s="516"/>
      <c r="K1265" s="515"/>
      <c r="L1265" s="515"/>
      <c r="M1265" s="514"/>
    </row>
    <row r="1266" spans="1:13">
      <c r="A1266" s="516"/>
      <c r="B1266" s="517"/>
      <c r="C1266" s="519"/>
      <c r="D1266" s="519"/>
      <c r="E1266" s="519"/>
      <c r="F1266" s="518"/>
      <c r="G1266" s="516"/>
      <c r="H1266" s="517"/>
      <c r="I1266" s="516"/>
      <c r="J1266" s="516"/>
      <c r="K1266" s="515"/>
      <c r="L1266" s="515"/>
      <c r="M1266" s="514"/>
    </row>
    <row r="1267" spans="1:13">
      <c r="A1267" s="516"/>
      <c r="B1267" s="517"/>
      <c r="C1267" s="519"/>
      <c r="D1267" s="519"/>
      <c r="E1267" s="519"/>
      <c r="F1267" s="518"/>
      <c r="G1267" s="516"/>
      <c r="H1267" s="517"/>
      <c r="I1267" s="516"/>
      <c r="J1267" s="516"/>
      <c r="K1267" s="515"/>
      <c r="L1267" s="515"/>
      <c r="M1267" s="514"/>
    </row>
    <row r="1268" spans="1:13">
      <c r="A1268" s="516"/>
      <c r="B1268" s="517"/>
      <c r="C1268" s="519"/>
      <c r="D1268" s="519"/>
      <c r="E1268" s="519"/>
      <c r="F1268" s="518"/>
      <c r="G1268" s="516"/>
      <c r="H1268" s="517"/>
      <c r="I1268" s="516"/>
      <c r="J1268" s="516"/>
      <c r="K1268" s="515"/>
      <c r="L1268" s="515"/>
      <c r="M1268" s="514"/>
    </row>
    <row r="1269" spans="1:13">
      <c r="A1269" s="516"/>
      <c r="B1269" s="517"/>
      <c r="C1269" s="519"/>
      <c r="D1269" s="519"/>
      <c r="E1269" s="519"/>
      <c r="F1269" s="518"/>
      <c r="G1269" s="516"/>
      <c r="H1269" s="517"/>
      <c r="I1269" s="516"/>
      <c r="J1269" s="516"/>
      <c r="K1269" s="515"/>
      <c r="L1269" s="515"/>
      <c r="M1269" s="514"/>
    </row>
    <row r="1270" spans="1:13">
      <c r="A1270" s="516"/>
      <c r="B1270" s="517"/>
      <c r="C1270" s="519"/>
      <c r="D1270" s="519"/>
      <c r="E1270" s="519"/>
      <c r="F1270" s="518"/>
      <c r="G1270" s="516"/>
      <c r="H1270" s="517"/>
      <c r="I1270" s="516"/>
      <c r="J1270" s="516"/>
      <c r="K1270" s="515"/>
      <c r="L1270" s="515"/>
      <c r="M1270" s="514"/>
    </row>
    <row r="1271" spans="1:13">
      <c r="A1271" s="516"/>
      <c r="B1271" s="517"/>
      <c r="C1271" s="519"/>
      <c r="D1271" s="519"/>
      <c r="E1271" s="519"/>
      <c r="F1271" s="518"/>
      <c r="G1271" s="516"/>
      <c r="H1271" s="517"/>
      <c r="I1271" s="516"/>
      <c r="J1271" s="516"/>
      <c r="K1271" s="515"/>
      <c r="L1271" s="515"/>
      <c r="M1271" s="514"/>
    </row>
    <row r="1272" spans="1:13">
      <c r="A1272" s="516"/>
      <c r="B1272" s="517"/>
      <c r="C1272" s="519"/>
      <c r="D1272" s="519"/>
      <c r="E1272" s="519"/>
      <c r="F1272" s="518"/>
      <c r="G1272" s="516"/>
      <c r="H1272" s="517"/>
      <c r="I1272" s="516"/>
      <c r="J1272" s="516"/>
      <c r="K1272" s="515"/>
      <c r="L1272" s="515"/>
      <c r="M1272" s="514"/>
    </row>
    <row r="1273" spans="1:13">
      <c r="A1273" s="516"/>
      <c r="B1273" s="517"/>
      <c r="C1273" s="519"/>
      <c r="D1273" s="519"/>
      <c r="E1273" s="519"/>
      <c r="F1273" s="518"/>
      <c r="G1273" s="516"/>
      <c r="H1273" s="517"/>
      <c r="I1273" s="516"/>
      <c r="J1273" s="516"/>
      <c r="K1273" s="515"/>
      <c r="L1273" s="515"/>
      <c r="M1273" s="514"/>
    </row>
    <row r="1274" spans="1:13">
      <c r="A1274" s="516"/>
      <c r="B1274" s="517"/>
      <c r="C1274" s="519"/>
      <c r="D1274" s="519"/>
      <c r="E1274" s="519"/>
      <c r="F1274" s="518"/>
      <c r="G1274" s="516"/>
      <c r="H1274" s="517"/>
      <c r="I1274" s="516"/>
      <c r="J1274" s="516"/>
      <c r="K1274" s="515"/>
      <c r="L1274" s="515"/>
      <c r="M1274" s="514"/>
    </row>
    <row r="1275" spans="1:13">
      <c r="A1275" s="516"/>
      <c r="B1275" s="517"/>
      <c r="C1275" s="519"/>
      <c r="D1275" s="519"/>
      <c r="E1275" s="519"/>
      <c r="F1275" s="518"/>
      <c r="G1275" s="516"/>
      <c r="H1275" s="517"/>
      <c r="I1275" s="516"/>
      <c r="J1275" s="516"/>
      <c r="K1275" s="515"/>
      <c r="L1275" s="515"/>
      <c r="M1275" s="514"/>
    </row>
    <row r="1276" spans="1:13">
      <c r="A1276" s="516"/>
      <c r="B1276" s="517"/>
      <c r="C1276" s="519"/>
      <c r="D1276" s="519"/>
      <c r="E1276" s="519"/>
      <c r="F1276" s="518"/>
      <c r="G1276" s="516"/>
      <c r="H1276" s="517"/>
      <c r="I1276" s="516"/>
      <c r="J1276" s="516"/>
      <c r="K1276" s="515"/>
      <c r="L1276" s="515"/>
      <c r="M1276" s="514"/>
    </row>
    <row r="1277" spans="1:13">
      <c r="A1277" s="516"/>
      <c r="B1277" s="517"/>
      <c r="C1277" s="519"/>
      <c r="D1277" s="519"/>
      <c r="E1277" s="519"/>
      <c r="F1277" s="518"/>
      <c r="G1277" s="516"/>
      <c r="H1277" s="517"/>
      <c r="I1277" s="516"/>
      <c r="J1277" s="516"/>
      <c r="K1277" s="515"/>
      <c r="L1277" s="515"/>
      <c r="M1277" s="514"/>
    </row>
    <row r="1278" spans="1:13">
      <c r="A1278" s="516"/>
      <c r="B1278" s="517"/>
      <c r="C1278" s="519"/>
      <c r="D1278" s="519"/>
      <c r="E1278" s="519"/>
      <c r="F1278" s="518"/>
      <c r="G1278" s="516"/>
      <c r="H1278" s="517"/>
      <c r="I1278" s="516"/>
      <c r="J1278" s="516"/>
      <c r="K1278" s="515"/>
      <c r="L1278" s="515"/>
      <c r="M1278" s="514"/>
    </row>
    <row r="1279" spans="1:13">
      <c r="A1279" s="516"/>
      <c r="B1279" s="517"/>
      <c r="C1279" s="519"/>
      <c r="D1279" s="519"/>
      <c r="E1279" s="519"/>
      <c r="F1279" s="518"/>
      <c r="G1279" s="516"/>
      <c r="H1279" s="517"/>
      <c r="I1279" s="516"/>
      <c r="J1279" s="516"/>
      <c r="K1279" s="515"/>
      <c r="L1279" s="515"/>
      <c r="M1279" s="514"/>
    </row>
    <row r="1280" spans="1:13">
      <c r="A1280" s="516"/>
      <c r="B1280" s="517"/>
      <c r="C1280" s="519"/>
      <c r="D1280" s="519"/>
      <c r="E1280" s="519"/>
      <c r="F1280" s="518"/>
      <c r="G1280" s="516"/>
      <c r="H1280" s="517"/>
      <c r="I1280" s="516"/>
      <c r="J1280" s="516"/>
      <c r="K1280" s="515"/>
      <c r="L1280" s="515"/>
      <c r="M1280" s="514"/>
    </row>
    <row r="1281" spans="1:13">
      <c r="A1281" s="516"/>
      <c r="B1281" s="517"/>
      <c r="C1281" s="519"/>
      <c r="D1281" s="519"/>
      <c r="E1281" s="519"/>
      <c r="F1281" s="518"/>
      <c r="G1281" s="516"/>
      <c r="H1281" s="517"/>
      <c r="I1281" s="516"/>
      <c r="J1281" s="516"/>
      <c r="K1281" s="515"/>
      <c r="L1281" s="515"/>
      <c r="M1281" s="514"/>
    </row>
    <row r="1282" spans="1:13">
      <c r="A1282" s="516"/>
      <c r="B1282" s="517"/>
      <c r="C1282" s="519"/>
      <c r="D1282" s="519"/>
      <c r="E1282" s="519"/>
      <c r="F1282" s="518"/>
      <c r="G1282" s="516"/>
      <c r="H1282" s="517"/>
      <c r="I1282" s="516"/>
      <c r="J1282" s="516"/>
      <c r="K1282" s="515"/>
      <c r="L1282" s="515"/>
      <c r="M1282" s="514"/>
    </row>
    <row r="1283" spans="1:13">
      <c r="A1283" s="516"/>
      <c r="B1283" s="517"/>
      <c r="C1283" s="519"/>
      <c r="D1283" s="519"/>
      <c r="E1283" s="519"/>
      <c r="F1283" s="518"/>
      <c r="G1283" s="516"/>
      <c r="H1283" s="517"/>
      <c r="I1283" s="516"/>
      <c r="J1283" s="516"/>
      <c r="K1283" s="515"/>
      <c r="L1283" s="515"/>
      <c r="M1283" s="514"/>
    </row>
    <row r="1284" spans="1:13">
      <c r="A1284" s="516"/>
      <c r="B1284" s="517"/>
      <c r="C1284" s="519"/>
      <c r="D1284" s="519"/>
      <c r="E1284" s="519"/>
      <c r="F1284" s="518"/>
      <c r="G1284" s="516"/>
      <c r="H1284" s="517"/>
      <c r="I1284" s="516"/>
      <c r="J1284" s="516"/>
      <c r="K1284" s="515"/>
      <c r="L1284" s="515"/>
      <c r="M1284" s="514"/>
    </row>
    <row r="1285" spans="1:13">
      <c r="A1285" s="516"/>
      <c r="B1285" s="517"/>
      <c r="C1285" s="519"/>
      <c r="D1285" s="519"/>
      <c r="E1285" s="519"/>
      <c r="F1285" s="518"/>
      <c r="G1285" s="516"/>
      <c r="H1285" s="517"/>
      <c r="I1285" s="516"/>
      <c r="J1285" s="516"/>
      <c r="K1285" s="515"/>
      <c r="L1285" s="515"/>
      <c r="M1285" s="514"/>
    </row>
    <row r="1286" spans="1:13">
      <c r="A1286" s="516"/>
      <c r="B1286" s="517"/>
      <c r="C1286" s="519"/>
      <c r="D1286" s="519"/>
      <c r="E1286" s="519"/>
      <c r="F1286" s="518"/>
      <c r="G1286" s="516"/>
      <c r="H1286" s="517"/>
      <c r="I1286" s="516"/>
      <c r="J1286" s="516"/>
      <c r="K1286" s="515"/>
      <c r="L1286" s="515"/>
      <c r="M1286" s="514"/>
    </row>
    <row r="1287" spans="1:13">
      <c r="A1287" s="516"/>
      <c r="B1287" s="517"/>
      <c r="C1287" s="519"/>
      <c r="D1287" s="519"/>
      <c r="E1287" s="519"/>
      <c r="F1287" s="518"/>
      <c r="G1287" s="516"/>
      <c r="H1287" s="517"/>
      <c r="I1287" s="516"/>
      <c r="J1287" s="516"/>
      <c r="K1287" s="515"/>
      <c r="L1287" s="515"/>
      <c r="M1287" s="514"/>
    </row>
    <row r="1288" spans="1:13">
      <c r="A1288" s="516"/>
      <c r="B1288" s="517"/>
      <c r="C1288" s="519"/>
      <c r="D1288" s="519"/>
      <c r="E1288" s="519"/>
      <c r="F1288" s="518"/>
      <c r="G1288" s="516"/>
      <c r="H1288" s="517"/>
      <c r="I1288" s="516"/>
      <c r="J1288" s="516"/>
      <c r="K1288" s="515"/>
      <c r="L1288" s="515"/>
      <c r="M1288" s="514"/>
    </row>
    <row r="1289" spans="1:13">
      <c r="A1289" s="516"/>
      <c r="B1289" s="517"/>
      <c r="C1289" s="519"/>
      <c r="D1289" s="519"/>
      <c r="E1289" s="519"/>
      <c r="F1289" s="518"/>
      <c r="G1289" s="516"/>
      <c r="H1289" s="517"/>
      <c r="I1289" s="516"/>
      <c r="J1289" s="516"/>
      <c r="K1289" s="515"/>
      <c r="L1289" s="515"/>
      <c r="M1289" s="514"/>
    </row>
    <row r="1290" spans="1:13">
      <c r="A1290" s="516"/>
      <c r="B1290" s="517"/>
      <c r="C1290" s="519"/>
      <c r="D1290" s="519"/>
      <c r="E1290" s="519"/>
      <c r="F1290" s="518"/>
      <c r="G1290" s="516"/>
      <c r="H1290" s="517"/>
      <c r="I1290" s="516"/>
      <c r="J1290" s="516"/>
      <c r="K1290" s="515"/>
      <c r="L1290" s="515"/>
      <c r="M1290" s="514"/>
    </row>
    <row r="1291" spans="1:13">
      <c r="A1291" s="516"/>
      <c r="B1291" s="517"/>
      <c r="C1291" s="519"/>
      <c r="D1291" s="519"/>
      <c r="E1291" s="519"/>
      <c r="F1291" s="518"/>
      <c r="G1291" s="516"/>
      <c r="H1291" s="517"/>
      <c r="I1291" s="516"/>
      <c r="J1291" s="516"/>
      <c r="K1291" s="515"/>
      <c r="L1291" s="515"/>
      <c r="M1291" s="514"/>
    </row>
    <row r="1292" spans="1:13">
      <c r="A1292" s="516"/>
      <c r="B1292" s="517"/>
      <c r="C1292" s="519"/>
      <c r="D1292" s="519"/>
      <c r="E1292" s="519"/>
      <c r="F1292" s="518"/>
      <c r="G1292" s="516"/>
      <c r="H1292" s="517"/>
      <c r="I1292" s="516"/>
      <c r="J1292" s="516"/>
      <c r="K1292" s="515"/>
      <c r="L1292" s="515"/>
      <c r="M1292" s="514"/>
    </row>
    <row r="1293" spans="1:13">
      <c r="A1293" s="516"/>
      <c r="B1293" s="517"/>
      <c r="C1293" s="519"/>
      <c r="D1293" s="519"/>
      <c r="E1293" s="519"/>
      <c r="F1293" s="518"/>
      <c r="G1293" s="516"/>
      <c r="H1293" s="517"/>
      <c r="I1293" s="516"/>
      <c r="J1293" s="516"/>
      <c r="K1293" s="515"/>
      <c r="L1293" s="515"/>
      <c r="M1293" s="514"/>
    </row>
    <row r="1294" spans="1:13">
      <c r="A1294" s="516"/>
      <c r="B1294" s="517"/>
      <c r="C1294" s="519"/>
      <c r="D1294" s="519"/>
      <c r="E1294" s="519"/>
      <c r="F1294" s="518"/>
      <c r="G1294" s="516"/>
      <c r="H1294" s="517"/>
      <c r="I1294" s="516"/>
      <c r="J1294" s="516"/>
      <c r="K1294" s="515"/>
      <c r="L1294" s="515"/>
      <c r="M1294" s="514"/>
    </row>
    <row r="1295" spans="1:13">
      <c r="A1295" s="516"/>
      <c r="B1295" s="517"/>
      <c r="C1295" s="519"/>
      <c r="D1295" s="519"/>
      <c r="E1295" s="519"/>
      <c r="F1295" s="518"/>
      <c r="G1295" s="516"/>
      <c r="H1295" s="517"/>
      <c r="I1295" s="516"/>
      <c r="J1295" s="516"/>
      <c r="K1295" s="515"/>
      <c r="L1295" s="515"/>
      <c r="M1295" s="514"/>
    </row>
    <row r="1296" spans="1:13">
      <c r="A1296" s="516"/>
      <c r="B1296" s="517"/>
      <c r="C1296" s="519"/>
      <c r="D1296" s="519"/>
      <c r="E1296" s="519"/>
      <c r="F1296" s="518"/>
      <c r="G1296" s="516"/>
      <c r="H1296" s="517"/>
      <c r="I1296" s="516"/>
      <c r="J1296" s="516"/>
      <c r="K1296" s="515"/>
      <c r="L1296" s="515"/>
      <c r="M1296" s="514"/>
    </row>
    <row r="1297" spans="1:13">
      <c r="A1297" s="516"/>
      <c r="B1297" s="517"/>
      <c r="C1297" s="519"/>
      <c r="D1297" s="519"/>
      <c r="E1297" s="519"/>
      <c r="F1297" s="518"/>
      <c r="G1297" s="516"/>
      <c r="H1297" s="517"/>
      <c r="I1297" s="516"/>
      <c r="J1297" s="516"/>
      <c r="K1297" s="515"/>
      <c r="L1297" s="515"/>
      <c r="M1297" s="514"/>
    </row>
    <row r="1298" spans="1:13">
      <c r="A1298" s="516"/>
      <c r="B1298" s="517"/>
      <c r="C1298" s="519"/>
      <c r="D1298" s="519"/>
      <c r="E1298" s="519"/>
      <c r="F1298" s="518"/>
      <c r="G1298" s="516"/>
      <c r="H1298" s="517"/>
      <c r="I1298" s="516"/>
      <c r="J1298" s="516"/>
      <c r="K1298" s="515"/>
      <c r="L1298" s="515"/>
      <c r="M1298" s="514"/>
    </row>
    <row r="1299" spans="1:13">
      <c r="A1299" s="516"/>
      <c r="B1299" s="517"/>
      <c r="C1299" s="519"/>
      <c r="D1299" s="519"/>
      <c r="E1299" s="519"/>
      <c r="F1299" s="518"/>
      <c r="G1299" s="516"/>
      <c r="H1299" s="517"/>
      <c r="I1299" s="516"/>
      <c r="J1299" s="516"/>
      <c r="K1299" s="515"/>
      <c r="L1299" s="515"/>
      <c r="M1299" s="514"/>
    </row>
    <row r="1300" spans="1:13">
      <c r="A1300" s="516"/>
      <c r="B1300" s="517"/>
      <c r="C1300" s="519"/>
      <c r="D1300" s="519"/>
      <c r="E1300" s="519"/>
      <c r="F1300" s="518"/>
      <c r="G1300" s="516"/>
      <c r="H1300" s="517"/>
      <c r="I1300" s="516"/>
      <c r="J1300" s="516"/>
      <c r="K1300" s="515"/>
      <c r="L1300" s="515"/>
      <c r="M1300" s="514"/>
    </row>
    <row r="1301" spans="1:13">
      <c r="A1301" s="516"/>
      <c r="B1301" s="517"/>
      <c r="C1301" s="519"/>
      <c r="D1301" s="519"/>
      <c r="E1301" s="519"/>
      <c r="F1301" s="518"/>
      <c r="G1301" s="516"/>
      <c r="H1301" s="517"/>
      <c r="I1301" s="516"/>
      <c r="J1301" s="516"/>
      <c r="K1301" s="515"/>
      <c r="L1301" s="515"/>
      <c r="M1301" s="514"/>
    </row>
    <row r="1302" spans="1:13">
      <c r="A1302" s="516"/>
      <c r="B1302" s="517"/>
      <c r="C1302" s="519"/>
      <c r="D1302" s="519"/>
      <c r="E1302" s="519"/>
      <c r="F1302" s="518"/>
      <c r="G1302" s="516"/>
      <c r="H1302" s="517"/>
      <c r="I1302" s="516"/>
      <c r="J1302" s="516"/>
      <c r="K1302" s="515"/>
      <c r="L1302" s="515"/>
      <c r="M1302" s="514"/>
    </row>
    <row r="1303" spans="1:13">
      <c r="A1303" s="516"/>
      <c r="B1303" s="517"/>
      <c r="C1303" s="519"/>
      <c r="D1303" s="519"/>
      <c r="E1303" s="519"/>
      <c r="F1303" s="518"/>
      <c r="G1303" s="516"/>
      <c r="H1303" s="517"/>
      <c r="I1303" s="516"/>
      <c r="J1303" s="516"/>
      <c r="K1303" s="515"/>
      <c r="L1303" s="515"/>
      <c r="M1303" s="514"/>
    </row>
    <row r="1304" spans="1:13">
      <c r="A1304" s="516"/>
      <c r="B1304" s="517"/>
      <c r="C1304" s="519"/>
      <c r="D1304" s="519"/>
      <c r="E1304" s="519"/>
      <c r="F1304" s="518"/>
      <c r="G1304" s="516"/>
      <c r="H1304" s="517"/>
      <c r="I1304" s="516"/>
      <c r="J1304" s="516"/>
      <c r="K1304" s="515"/>
      <c r="L1304" s="515"/>
      <c r="M1304" s="514"/>
    </row>
    <row r="1305" spans="1:13">
      <c r="A1305" s="516"/>
      <c r="B1305" s="517"/>
      <c r="C1305" s="519"/>
      <c r="D1305" s="519"/>
      <c r="E1305" s="519"/>
      <c r="F1305" s="518"/>
      <c r="G1305" s="516"/>
      <c r="H1305" s="517"/>
      <c r="I1305" s="516"/>
      <c r="J1305" s="516"/>
      <c r="K1305" s="515"/>
      <c r="L1305" s="515"/>
      <c r="M1305" s="514"/>
    </row>
    <row r="1306" spans="1:13">
      <c r="A1306" s="516"/>
      <c r="B1306" s="517"/>
      <c r="C1306" s="519"/>
      <c r="D1306" s="519"/>
      <c r="E1306" s="519"/>
      <c r="F1306" s="518"/>
      <c r="G1306" s="516"/>
      <c r="H1306" s="517"/>
      <c r="I1306" s="516"/>
      <c r="J1306" s="516"/>
      <c r="K1306" s="515"/>
      <c r="L1306" s="515"/>
      <c r="M1306" s="514"/>
    </row>
    <row r="1307" spans="1:13">
      <c r="A1307" s="516"/>
      <c r="B1307" s="517"/>
      <c r="C1307" s="519"/>
      <c r="D1307" s="519"/>
      <c r="E1307" s="519"/>
      <c r="F1307" s="518"/>
      <c r="G1307" s="516"/>
      <c r="H1307" s="517"/>
      <c r="I1307" s="516"/>
      <c r="J1307" s="516"/>
      <c r="K1307" s="515"/>
      <c r="L1307" s="515"/>
      <c r="M1307" s="514"/>
    </row>
    <row r="1308" spans="1:13">
      <c r="A1308" s="516"/>
      <c r="B1308" s="517"/>
      <c r="C1308" s="519"/>
      <c r="D1308" s="519"/>
      <c r="E1308" s="519"/>
      <c r="F1308" s="518"/>
      <c r="G1308" s="516"/>
      <c r="H1308" s="517"/>
      <c r="I1308" s="516"/>
      <c r="J1308" s="516"/>
      <c r="K1308" s="515"/>
      <c r="L1308" s="515"/>
      <c r="M1308" s="514"/>
    </row>
    <row r="1309" spans="1:13">
      <c r="A1309" s="516"/>
      <c r="B1309" s="517"/>
      <c r="C1309" s="519"/>
      <c r="D1309" s="519"/>
      <c r="E1309" s="519"/>
      <c r="F1309" s="518"/>
      <c r="G1309" s="516"/>
      <c r="H1309" s="517"/>
      <c r="I1309" s="516"/>
      <c r="J1309" s="516"/>
      <c r="K1309" s="515"/>
      <c r="L1309" s="515"/>
      <c r="M1309" s="514"/>
    </row>
    <row r="1310" spans="1:13">
      <c r="A1310" s="516"/>
      <c r="B1310" s="517"/>
      <c r="C1310" s="519"/>
      <c r="D1310" s="519"/>
      <c r="E1310" s="519"/>
      <c r="F1310" s="518"/>
      <c r="G1310" s="516"/>
      <c r="H1310" s="517"/>
      <c r="I1310" s="516"/>
      <c r="J1310" s="516"/>
      <c r="K1310" s="515"/>
      <c r="L1310" s="515"/>
      <c r="M1310" s="514"/>
    </row>
    <row r="1311" spans="1:13">
      <c r="A1311" s="516"/>
      <c r="B1311" s="517"/>
      <c r="C1311" s="519"/>
      <c r="D1311" s="519"/>
      <c r="E1311" s="519"/>
      <c r="F1311" s="518"/>
      <c r="G1311" s="516"/>
      <c r="H1311" s="517"/>
      <c r="I1311" s="516"/>
      <c r="J1311" s="516"/>
      <c r="K1311" s="515"/>
      <c r="L1311" s="515"/>
      <c r="M1311" s="514"/>
    </row>
    <row r="1312" spans="1:13">
      <c r="A1312" s="516"/>
      <c r="B1312" s="517"/>
      <c r="C1312" s="519"/>
      <c r="D1312" s="519"/>
      <c r="E1312" s="519"/>
      <c r="F1312" s="518"/>
      <c r="G1312" s="516"/>
      <c r="H1312" s="517"/>
      <c r="I1312" s="516"/>
      <c r="J1312" s="516"/>
      <c r="K1312" s="515"/>
      <c r="L1312" s="515"/>
      <c r="M1312" s="514"/>
    </row>
    <row r="1313" spans="1:13">
      <c r="A1313" s="516"/>
      <c r="B1313" s="517"/>
      <c r="C1313" s="519"/>
      <c r="D1313" s="519"/>
      <c r="E1313" s="519"/>
      <c r="F1313" s="518"/>
      <c r="G1313" s="516"/>
      <c r="H1313" s="517"/>
      <c r="I1313" s="516"/>
      <c r="J1313" s="516"/>
      <c r="K1313" s="515"/>
      <c r="L1313" s="515"/>
      <c r="M1313" s="514"/>
    </row>
    <row r="1314" spans="1:13">
      <c r="A1314" s="516"/>
      <c r="B1314" s="517"/>
      <c r="C1314" s="519"/>
      <c r="D1314" s="519"/>
      <c r="E1314" s="519"/>
      <c r="F1314" s="518"/>
      <c r="G1314" s="516"/>
      <c r="H1314" s="517"/>
      <c r="I1314" s="516"/>
      <c r="J1314" s="516"/>
      <c r="K1314" s="515"/>
      <c r="L1314" s="515"/>
      <c r="M1314" s="514"/>
    </row>
    <row r="1315" spans="1:13">
      <c r="A1315" s="516"/>
      <c r="B1315" s="517"/>
      <c r="C1315" s="519"/>
      <c r="D1315" s="519"/>
      <c r="E1315" s="519"/>
      <c r="F1315" s="518"/>
      <c r="G1315" s="516"/>
      <c r="H1315" s="517"/>
      <c r="I1315" s="516"/>
      <c r="J1315" s="516"/>
      <c r="K1315" s="515"/>
      <c r="L1315" s="515"/>
      <c r="M1315" s="514"/>
    </row>
    <row r="1316" spans="1:13">
      <c r="A1316" s="516"/>
      <c r="B1316" s="517"/>
      <c r="C1316" s="519"/>
      <c r="D1316" s="519"/>
      <c r="E1316" s="519"/>
      <c r="F1316" s="518"/>
      <c r="G1316" s="516"/>
      <c r="H1316" s="517"/>
      <c r="I1316" s="516"/>
      <c r="J1316" s="516"/>
      <c r="K1316" s="515"/>
      <c r="L1316" s="515"/>
      <c r="M1316" s="514"/>
    </row>
    <row r="1317" spans="1:13">
      <c r="A1317" s="516"/>
      <c r="B1317" s="517"/>
      <c r="C1317" s="519"/>
      <c r="D1317" s="519"/>
      <c r="E1317" s="519"/>
      <c r="F1317" s="518"/>
      <c r="G1317" s="516"/>
      <c r="H1317" s="517"/>
      <c r="I1317" s="516"/>
      <c r="J1317" s="516"/>
      <c r="K1317" s="515"/>
      <c r="L1317" s="515"/>
      <c r="M1317" s="514"/>
    </row>
    <row r="1318" spans="1:13">
      <c r="A1318" s="516"/>
      <c r="B1318" s="517"/>
      <c r="C1318" s="519"/>
      <c r="D1318" s="519"/>
      <c r="E1318" s="519"/>
      <c r="F1318" s="518"/>
      <c r="G1318" s="516"/>
      <c r="H1318" s="517"/>
      <c r="I1318" s="516"/>
      <c r="J1318" s="516"/>
      <c r="K1318" s="515"/>
      <c r="L1318" s="515"/>
      <c r="M1318" s="514"/>
    </row>
    <row r="1319" spans="1:13">
      <c r="A1319" s="516"/>
      <c r="B1319" s="517"/>
      <c r="C1319" s="519"/>
      <c r="D1319" s="519"/>
      <c r="E1319" s="519"/>
      <c r="F1319" s="518"/>
      <c r="G1319" s="516"/>
      <c r="H1319" s="517"/>
      <c r="I1319" s="516"/>
      <c r="J1319" s="516"/>
      <c r="K1319" s="515"/>
      <c r="L1319" s="515"/>
      <c r="M1319" s="514"/>
    </row>
    <row r="1320" spans="1:13">
      <c r="A1320" s="516"/>
      <c r="B1320" s="517"/>
      <c r="C1320" s="519"/>
      <c r="D1320" s="519"/>
      <c r="E1320" s="519"/>
      <c r="F1320" s="518"/>
      <c r="G1320" s="516"/>
      <c r="H1320" s="517"/>
      <c r="I1320" s="516"/>
      <c r="J1320" s="516"/>
      <c r="K1320" s="515"/>
      <c r="L1320" s="515"/>
      <c r="M1320" s="514"/>
    </row>
    <row r="1321" spans="1:13">
      <c r="A1321" s="516"/>
      <c r="B1321" s="517"/>
      <c r="C1321" s="519"/>
      <c r="D1321" s="519"/>
      <c r="E1321" s="519"/>
      <c r="F1321" s="518"/>
      <c r="G1321" s="516"/>
      <c r="H1321" s="517"/>
      <c r="I1321" s="516"/>
      <c r="J1321" s="516"/>
      <c r="K1321" s="515"/>
      <c r="L1321" s="515"/>
      <c r="M1321" s="514"/>
    </row>
    <row r="1322" spans="1:13">
      <c r="A1322" s="516"/>
      <c r="B1322" s="517"/>
      <c r="C1322" s="519"/>
      <c r="D1322" s="519"/>
      <c r="E1322" s="519"/>
      <c r="F1322" s="518"/>
      <c r="G1322" s="516"/>
      <c r="H1322" s="517"/>
      <c r="I1322" s="516"/>
      <c r="J1322" s="516"/>
      <c r="K1322" s="515"/>
      <c r="L1322" s="515"/>
      <c r="M1322" s="514"/>
    </row>
    <row r="1323" spans="1:13">
      <c r="A1323" s="516"/>
      <c r="B1323" s="517"/>
      <c r="C1323" s="519"/>
      <c r="D1323" s="519"/>
      <c r="E1323" s="519"/>
      <c r="F1323" s="518"/>
      <c r="G1323" s="516"/>
      <c r="H1323" s="517"/>
      <c r="I1323" s="516"/>
      <c r="J1323" s="516"/>
      <c r="K1323" s="515"/>
      <c r="L1323" s="515"/>
      <c r="M1323" s="514"/>
    </row>
    <row r="1324" spans="1:13">
      <c r="A1324" s="516"/>
      <c r="B1324" s="517"/>
      <c r="C1324" s="519"/>
      <c r="D1324" s="519"/>
      <c r="E1324" s="519"/>
      <c r="F1324" s="518"/>
      <c r="G1324" s="516"/>
      <c r="H1324" s="517"/>
      <c r="I1324" s="516"/>
      <c r="J1324" s="516"/>
      <c r="K1324" s="515"/>
      <c r="L1324" s="515"/>
      <c r="M1324" s="514"/>
    </row>
    <row r="1325" spans="1:13">
      <c r="A1325" s="516"/>
      <c r="B1325" s="517"/>
      <c r="C1325" s="519"/>
      <c r="D1325" s="519"/>
      <c r="E1325" s="519"/>
      <c r="F1325" s="518"/>
      <c r="G1325" s="516"/>
      <c r="H1325" s="517"/>
      <c r="I1325" s="516"/>
      <c r="J1325" s="516"/>
      <c r="K1325" s="515"/>
      <c r="L1325" s="515"/>
      <c r="M1325" s="514"/>
    </row>
    <row r="1326" spans="1:13">
      <c r="A1326" s="516"/>
      <c r="B1326" s="517"/>
      <c r="C1326" s="519"/>
      <c r="D1326" s="519"/>
      <c r="E1326" s="519"/>
      <c r="F1326" s="518"/>
      <c r="G1326" s="516"/>
      <c r="H1326" s="517"/>
      <c r="I1326" s="516"/>
      <c r="J1326" s="516"/>
      <c r="K1326" s="515"/>
      <c r="L1326" s="515"/>
      <c r="M1326" s="514"/>
    </row>
    <row r="1327" spans="1:13">
      <c r="A1327" s="516"/>
      <c r="B1327" s="517"/>
      <c r="C1327" s="519"/>
      <c r="D1327" s="519"/>
      <c r="E1327" s="519"/>
      <c r="F1327" s="518"/>
      <c r="G1327" s="516"/>
      <c r="H1327" s="517"/>
      <c r="I1327" s="516"/>
      <c r="J1327" s="516"/>
      <c r="K1327" s="515"/>
      <c r="L1327" s="515"/>
      <c r="M1327" s="514"/>
    </row>
    <row r="1328" spans="1:13">
      <c r="A1328" s="516"/>
      <c r="B1328" s="517"/>
      <c r="C1328" s="519"/>
      <c r="D1328" s="519"/>
      <c r="E1328" s="519"/>
      <c r="F1328" s="518"/>
      <c r="G1328" s="516"/>
      <c r="H1328" s="517"/>
      <c r="I1328" s="516"/>
      <c r="J1328" s="516"/>
      <c r="K1328" s="515"/>
      <c r="L1328" s="515"/>
      <c r="M1328" s="514"/>
    </row>
    <row r="1329" spans="1:13">
      <c r="A1329" s="516"/>
      <c r="B1329" s="517"/>
      <c r="C1329" s="519"/>
      <c r="D1329" s="519"/>
      <c r="E1329" s="519"/>
      <c r="F1329" s="518"/>
      <c r="G1329" s="516"/>
      <c r="H1329" s="517"/>
      <c r="I1329" s="516"/>
      <c r="J1329" s="516"/>
      <c r="K1329" s="515"/>
      <c r="L1329" s="515"/>
      <c r="M1329" s="514"/>
    </row>
    <row r="1330" spans="1:13">
      <c r="A1330" s="516"/>
      <c r="B1330" s="517"/>
      <c r="C1330" s="519"/>
      <c r="D1330" s="519"/>
      <c r="E1330" s="519"/>
      <c r="F1330" s="518"/>
      <c r="G1330" s="516"/>
      <c r="H1330" s="517"/>
      <c r="I1330" s="516"/>
      <c r="J1330" s="516"/>
      <c r="K1330" s="515"/>
      <c r="L1330" s="515"/>
      <c r="M1330" s="514"/>
    </row>
    <row r="1331" spans="1:13">
      <c r="A1331" s="516"/>
      <c r="B1331" s="517"/>
      <c r="C1331" s="519"/>
      <c r="D1331" s="519"/>
      <c r="E1331" s="519"/>
      <c r="F1331" s="518"/>
      <c r="G1331" s="516"/>
      <c r="H1331" s="517"/>
      <c r="I1331" s="516"/>
      <c r="J1331" s="516"/>
      <c r="K1331" s="515"/>
      <c r="L1331" s="515"/>
      <c r="M1331" s="514"/>
    </row>
    <row r="1332" spans="1:13">
      <c r="A1332" s="516"/>
      <c r="B1332" s="517"/>
      <c r="C1332" s="519"/>
      <c r="D1332" s="519"/>
      <c r="E1332" s="519"/>
      <c r="F1332" s="518"/>
      <c r="G1332" s="516"/>
      <c r="H1332" s="517"/>
      <c r="I1332" s="516"/>
      <c r="J1332" s="516"/>
      <c r="K1332" s="515"/>
      <c r="L1332" s="515"/>
      <c r="M1332" s="514"/>
    </row>
    <row r="1333" spans="1:13">
      <c r="A1333" s="516"/>
      <c r="B1333" s="517"/>
      <c r="C1333" s="519"/>
      <c r="D1333" s="519"/>
      <c r="E1333" s="519"/>
      <c r="F1333" s="518"/>
      <c r="G1333" s="516"/>
      <c r="H1333" s="517"/>
      <c r="I1333" s="516"/>
      <c r="J1333" s="516"/>
      <c r="K1333" s="515"/>
      <c r="L1333" s="515"/>
      <c r="M1333" s="514"/>
    </row>
    <row r="1334" spans="1:13">
      <c r="A1334" s="516"/>
      <c r="B1334" s="517"/>
      <c r="C1334" s="519"/>
      <c r="D1334" s="519"/>
      <c r="E1334" s="519"/>
      <c r="F1334" s="518"/>
      <c r="G1334" s="516"/>
      <c r="H1334" s="517"/>
      <c r="I1334" s="516"/>
      <c r="J1334" s="516"/>
      <c r="K1334" s="515"/>
      <c r="L1334" s="515"/>
      <c r="M1334" s="514"/>
    </row>
    <row r="1335" spans="1:13">
      <c r="A1335" s="516"/>
      <c r="B1335" s="517"/>
      <c r="C1335" s="519"/>
      <c r="D1335" s="519"/>
      <c r="E1335" s="519"/>
      <c r="F1335" s="518"/>
      <c r="G1335" s="516"/>
      <c r="H1335" s="517"/>
      <c r="I1335" s="516"/>
      <c r="J1335" s="516"/>
      <c r="K1335" s="515"/>
      <c r="L1335" s="515"/>
      <c r="M1335" s="514"/>
    </row>
    <row r="1336" spans="1:13">
      <c r="A1336" s="516"/>
      <c r="B1336" s="517"/>
      <c r="C1336" s="519"/>
      <c r="D1336" s="519"/>
      <c r="E1336" s="519"/>
      <c r="F1336" s="518"/>
      <c r="G1336" s="516"/>
      <c r="H1336" s="517"/>
      <c r="I1336" s="516"/>
      <c r="J1336" s="516"/>
      <c r="K1336" s="515"/>
      <c r="L1336" s="515"/>
      <c r="M1336" s="514"/>
    </row>
    <row r="1337" spans="1:13">
      <c r="A1337" s="516"/>
      <c r="B1337" s="517"/>
      <c r="C1337" s="519"/>
      <c r="D1337" s="519"/>
      <c r="E1337" s="519"/>
      <c r="F1337" s="518"/>
      <c r="G1337" s="516"/>
      <c r="H1337" s="517"/>
      <c r="I1337" s="516"/>
      <c r="J1337" s="516"/>
      <c r="K1337" s="515"/>
      <c r="L1337" s="515"/>
      <c r="M1337" s="514"/>
    </row>
    <row r="1338" spans="1:13">
      <c r="A1338" s="516"/>
      <c r="B1338" s="517"/>
      <c r="C1338" s="519"/>
      <c r="D1338" s="519"/>
      <c r="E1338" s="519"/>
      <c r="F1338" s="518"/>
      <c r="G1338" s="516"/>
      <c r="H1338" s="517"/>
      <c r="I1338" s="516"/>
      <c r="J1338" s="516"/>
      <c r="K1338" s="515"/>
      <c r="L1338" s="515"/>
      <c r="M1338" s="514"/>
    </row>
    <row r="1339" spans="1:13">
      <c r="A1339" s="516"/>
      <c r="B1339" s="517"/>
      <c r="C1339" s="519"/>
      <c r="D1339" s="519"/>
      <c r="E1339" s="519"/>
      <c r="F1339" s="518"/>
      <c r="G1339" s="516"/>
      <c r="H1339" s="517"/>
      <c r="I1339" s="516"/>
      <c r="J1339" s="516"/>
      <c r="K1339" s="515"/>
      <c r="L1339" s="515"/>
      <c r="M1339" s="514"/>
    </row>
    <row r="1340" spans="1:13">
      <c r="A1340" s="516"/>
      <c r="B1340" s="517"/>
      <c r="C1340" s="519"/>
      <c r="D1340" s="519"/>
      <c r="E1340" s="519"/>
      <c r="F1340" s="518"/>
      <c r="G1340" s="516"/>
      <c r="H1340" s="517"/>
      <c r="I1340" s="516"/>
      <c r="J1340" s="516"/>
      <c r="K1340" s="515"/>
      <c r="L1340" s="515"/>
      <c r="M1340" s="514"/>
    </row>
    <row r="1341" spans="1:13">
      <c r="A1341" s="516"/>
      <c r="B1341" s="517"/>
      <c r="C1341" s="519"/>
      <c r="D1341" s="519"/>
      <c r="E1341" s="519"/>
      <c r="F1341" s="518"/>
      <c r="G1341" s="516"/>
      <c r="H1341" s="517"/>
      <c r="I1341" s="516"/>
      <c r="J1341" s="516"/>
      <c r="K1341" s="515"/>
      <c r="L1341" s="515"/>
      <c r="M1341" s="514"/>
    </row>
    <row r="1342" spans="1:13">
      <c r="A1342" s="516"/>
      <c r="B1342" s="517"/>
      <c r="C1342" s="519"/>
      <c r="D1342" s="519"/>
      <c r="E1342" s="519"/>
      <c r="F1342" s="518"/>
      <c r="G1342" s="516"/>
      <c r="H1342" s="517"/>
      <c r="I1342" s="516"/>
      <c r="J1342" s="516"/>
      <c r="K1342" s="515"/>
      <c r="L1342" s="515"/>
      <c r="M1342" s="514"/>
    </row>
    <row r="1343" spans="1:13">
      <c r="A1343" s="516"/>
      <c r="B1343" s="517"/>
      <c r="C1343" s="519"/>
      <c r="D1343" s="519"/>
      <c r="E1343" s="519"/>
      <c r="F1343" s="518"/>
      <c r="G1343" s="516"/>
      <c r="H1343" s="517"/>
      <c r="I1343" s="516"/>
      <c r="J1343" s="516"/>
      <c r="K1343" s="515"/>
      <c r="L1343" s="515"/>
      <c r="M1343" s="514"/>
    </row>
    <row r="1344" spans="1:13">
      <c r="A1344" s="516"/>
      <c r="B1344" s="517"/>
      <c r="C1344" s="519"/>
      <c r="D1344" s="519"/>
      <c r="E1344" s="519"/>
      <c r="F1344" s="518"/>
      <c r="G1344" s="516"/>
      <c r="H1344" s="517"/>
      <c r="I1344" s="516"/>
      <c r="J1344" s="516"/>
      <c r="K1344" s="515"/>
      <c r="L1344" s="515"/>
      <c r="M1344" s="514"/>
    </row>
    <row r="1345" spans="1:13">
      <c r="A1345" s="516"/>
      <c r="B1345" s="517"/>
      <c r="C1345" s="519"/>
      <c r="D1345" s="519"/>
      <c r="E1345" s="519"/>
      <c r="F1345" s="518"/>
      <c r="G1345" s="516"/>
      <c r="H1345" s="517"/>
      <c r="I1345" s="516"/>
      <c r="J1345" s="516"/>
      <c r="K1345" s="515"/>
      <c r="L1345" s="515"/>
      <c r="M1345" s="514"/>
    </row>
    <row r="1346" spans="1:13">
      <c r="A1346" s="516"/>
      <c r="B1346" s="517"/>
      <c r="C1346" s="519"/>
      <c r="D1346" s="519"/>
      <c r="E1346" s="519"/>
      <c r="F1346" s="518"/>
      <c r="G1346" s="516"/>
      <c r="H1346" s="517"/>
      <c r="I1346" s="516"/>
      <c r="J1346" s="516"/>
      <c r="K1346" s="515"/>
      <c r="L1346" s="515"/>
      <c r="M1346" s="514"/>
    </row>
    <row r="1347" spans="1:13">
      <c r="A1347" s="516"/>
      <c r="B1347" s="517"/>
      <c r="C1347" s="519"/>
      <c r="D1347" s="519"/>
      <c r="E1347" s="519"/>
      <c r="F1347" s="518"/>
      <c r="G1347" s="516"/>
      <c r="H1347" s="517"/>
      <c r="I1347" s="516"/>
      <c r="J1347" s="516"/>
      <c r="K1347" s="515"/>
      <c r="L1347" s="515"/>
      <c r="M1347" s="514"/>
    </row>
    <row r="1348" spans="1:13">
      <c r="A1348" s="516"/>
      <c r="B1348" s="517"/>
      <c r="C1348" s="519"/>
      <c r="D1348" s="519"/>
      <c r="E1348" s="519"/>
      <c r="F1348" s="518"/>
      <c r="G1348" s="516"/>
      <c r="H1348" s="517"/>
      <c r="I1348" s="516"/>
      <c r="J1348" s="516"/>
      <c r="K1348" s="515"/>
      <c r="L1348" s="515"/>
      <c r="M1348" s="514"/>
    </row>
    <row r="1349" spans="1:13">
      <c r="A1349" s="516"/>
      <c r="B1349" s="517"/>
      <c r="C1349" s="519"/>
      <c r="D1349" s="519"/>
      <c r="E1349" s="519"/>
      <c r="F1349" s="518"/>
      <c r="G1349" s="516"/>
      <c r="H1349" s="517"/>
      <c r="I1349" s="516"/>
      <c r="J1349" s="516"/>
      <c r="K1349" s="515"/>
      <c r="L1349" s="515"/>
      <c r="M1349" s="514"/>
    </row>
  </sheetData>
  <autoFilter ref="A10:T509"/>
  <mergeCells count="1">
    <mergeCell ref="A9:M9"/>
  </mergeCells>
  <pageMargins left="0.31496062992125984" right="0.31496062992125984" top="0.39370078740157483" bottom="0.39370078740157483" header="0.31496062992125984" footer="0.31496062992125984"/>
  <pageSetup paperSize="9" scale="85" orientation="landscape" horizontalDpi="4294967295" verticalDpi="4294967295"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K87"/>
  <sheetViews>
    <sheetView showGridLines="0" topLeftCell="A60" zoomScale="60" zoomScaleNormal="60" workbookViewId="0">
      <selection activeCell="H79" sqref="H79"/>
    </sheetView>
  </sheetViews>
  <sheetFormatPr defaultColWidth="9.140625" defaultRowHeight="25.5"/>
  <cols>
    <col min="1" max="1" width="4.85546875" style="635" customWidth="1"/>
    <col min="2" max="2" width="11" style="749" customWidth="1"/>
    <col min="3" max="3" width="131.7109375" style="750" customWidth="1"/>
    <col min="4" max="4" width="28" style="751" customWidth="1"/>
    <col min="5" max="5" width="24.5703125" style="752" customWidth="1"/>
    <col min="6" max="6" width="6.140625" style="634" customWidth="1"/>
    <col min="7" max="7" width="9.140625" style="635"/>
    <col min="8" max="8" width="21.28515625" style="635" customWidth="1"/>
    <col min="9" max="10" width="9.140625" style="635"/>
    <col min="11" max="11" width="14.7109375" style="737" bestFit="1" customWidth="1"/>
    <col min="12" max="16384" width="9.140625" style="635"/>
  </cols>
  <sheetData>
    <row r="2" spans="2:6" ht="33.75" customHeight="1">
      <c r="B2" s="1095" t="str">
        <f>CONCATENATE("Planilha do Custo Direto da Mão de Obra - ", Áreas_edf_e_Descrição_postos!C18)</f>
        <v>Planilha do Custo Direto da Mão de Obra - Copeiro</v>
      </c>
      <c r="C2" s="1096"/>
      <c r="D2" s="1096"/>
      <c r="E2" s="1097"/>
    </row>
    <row r="3" spans="2:6" ht="33.75" customHeight="1">
      <c r="B3" s="1098" t="s">
        <v>1318</v>
      </c>
      <c r="C3" s="1098"/>
      <c r="D3" s="1098"/>
      <c r="E3" s="1098"/>
      <c r="F3" s="636"/>
    </row>
    <row r="4" spans="2:6" ht="35.25" customHeight="1">
      <c r="B4" s="637" t="s">
        <v>810</v>
      </c>
      <c r="C4" s="637" t="s">
        <v>811</v>
      </c>
      <c r="D4" s="638" t="s">
        <v>812</v>
      </c>
      <c r="E4" s="639" t="s">
        <v>813</v>
      </c>
      <c r="F4" s="636"/>
    </row>
    <row r="5" spans="2:6" ht="31.5" customHeight="1">
      <c r="B5" s="640">
        <v>1</v>
      </c>
      <c r="C5" s="641" t="s">
        <v>814</v>
      </c>
      <c r="D5" s="642"/>
      <c r="E5" s="643"/>
      <c r="F5" s="636"/>
    </row>
    <row r="6" spans="2:6" ht="30.75" customHeight="1">
      <c r="B6" s="754" t="s">
        <v>739</v>
      </c>
      <c r="C6" s="755" t="s">
        <v>815</v>
      </c>
      <c r="D6" s="756"/>
      <c r="E6" s="757"/>
      <c r="F6" s="636"/>
    </row>
    <row r="7" spans="2:6" ht="27" customHeight="1">
      <c r="B7" s="644" t="s">
        <v>741</v>
      </c>
      <c r="C7" s="645" t="s">
        <v>816</v>
      </c>
      <c r="D7" s="646"/>
      <c r="E7" s="647"/>
      <c r="F7" s="636"/>
    </row>
    <row r="8" spans="2:6" ht="27" customHeight="1">
      <c r="B8" s="644"/>
      <c r="C8" s="648" t="s">
        <v>817</v>
      </c>
      <c r="D8" s="649"/>
      <c r="E8" s="647"/>
      <c r="F8" s="636"/>
    </row>
    <row r="9" spans="2:6" ht="27.75" customHeight="1">
      <c r="B9" s="644" t="s">
        <v>743</v>
      </c>
      <c r="C9" s="645" t="s">
        <v>818</v>
      </c>
      <c r="D9" s="650"/>
      <c r="E9" s="651"/>
      <c r="F9" s="636"/>
    </row>
    <row r="10" spans="2:6" ht="29.25" customHeight="1">
      <c r="B10" s="644" t="s">
        <v>745</v>
      </c>
      <c r="C10" s="645" t="s">
        <v>819</v>
      </c>
      <c r="D10" s="646"/>
      <c r="E10" s="647"/>
      <c r="F10" s="636"/>
    </row>
    <row r="11" spans="2:6" ht="29.25" customHeight="1">
      <c r="B11" s="644" t="s">
        <v>747</v>
      </c>
      <c r="C11" s="645" t="s">
        <v>820</v>
      </c>
      <c r="D11" s="646"/>
      <c r="E11" s="647"/>
      <c r="F11" s="636"/>
    </row>
    <row r="12" spans="2:6" ht="30.75" customHeight="1">
      <c r="B12" s="644" t="s">
        <v>749</v>
      </c>
      <c r="C12" s="645" t="s">
        <v>821</v>
      </c>
      <c r="D12" s="646"/>
      <c r="E12" s="647"/>
      <c r="F12" s="636"/>
    </row>
    <row r="13" spans="2:6" ht="33" customHeight="1">
      <c r="B13" s="1099" t="s">
        <v>822</v>
      </c>
      <c r="C13" s="1100"/>
      <c r="D13" s="652"/>
      <c r="E13" s="653">
        <f>SUM(E6:E12)</f>
        <v>0</v>
      </c>
      <c r="F13" s="636"/>
    </row>
    <row r="14" spans="2:6" ht="33" customHeight="1">
      <c r="B14" s="654"/>
      <c r="C14" s="655" t="s">
        <v>823</v>
      </c>
      <c r="D14" s="646"/>
      <c r="E14" s="647"/>
      <c r="F14" s="636"/>
    </row>
    <row r="15" spans="2:6" ht="31.5" customHeight="1">
      <c r="B15" s="654" t="s">
        <v>751</v>
      </c>
      <c r="C15" s="656" t="s">
        <v>824</v>
      </c>
      <c r="D15" s="646"/>
      <c r="E15" s="657"/>
      <c r="F15" s="636"/>
    </row>
    <row r="16" spans="2:6" ht="31.5" customHeight="1">
      <c r="B16" s="654" t="s">
        <v>755</v>
      </c>
      <c r="C16" s="658" t="s">
        <v>825</v>
      </c>
      <c r="D16" s="646"/>
      <c r="E16" s="657"/>
      <c r="F16" s="636"/>
    </row>
    <row r="17" spans="2:8" ht="33.75" customHeight="1">
      <c r="B17" s="640">
        <v>1</v>
      </c>
      <c r="C17" s="659" t="s">
        <v>826</v>
      </c>
      <c r="D17" s="660"/>
      <c r="E17" s="661">
        <f>E13+E15</f>
        <v>0</v>
      </c>
      <c r="F17" s="636"/>
    </row>
    <row r="18" spans="2:8" ht="33.75" customHeight="1">
      <c r="B18" s="640">
        <v>2</v>
      </c>
      <c r="C18" s="641" t="s">
        <v>827</v>
      </c>
      <c r="D18" s="642"/>
      <c r="E18" s="643"/>
      <c r="F18" s="636"/>
    </row>
    <row r="19" spans="2:8" ht="33.75" customHeight="1">
      <c r="B19" s="652"/>
      <c r="C19" s="662" t="s">
        <v>828</v>
      </c>
      <c r="D19" s="663"/>
      <c r="E19" s="664"/>
      <c r="F19" s="636"/>
    </row>
    <row r="20" spans="2:8" ht="33.75" customHeight="1">
      <c r="B20" s="665" t="s">
        <v>739</v>
      </c>
      <c r="C20" s="666" t="s">
        <v>829</v>
      </c>
      <c r="D20" s="667"/>
      <c r="E20" s="668"/>
      <c r="F20" s="636"/>
    </row>
    <row r="21" spans="2:8" ht="33.75" customHeight="1">
      <c r="B21" s="665" t="s">
        <v>741</v>
      </c>
      <c r="C21" s="666" t="s">
        <v>830</v>
      </c>
      <c r="D21" s="667"/>
      <c r="E21" s="669"/>
      <c r="F21" s="636"/>
      <c r="H21" s="670"/>
    </row>
    <row r="22" spans="2:8" ht="33.75" customHeight="1">
      <c r="B22" s="665" t="s">
        <v>743</v>
      </c>
      <c r="C22" s="666" t="s">
        <v>707</v>
      </c>
      <c r="D22" s="667"/>
      <c r="E22" s="668"/>
      <c r="F22" s="636"/>
    </row>
    <row r="23" spans="2:8" ht="33.75" customHeight="1">
      <c r="B23" s="665" t="s">
        <v>745</v>
      </c>
      <c r="C23" s="211" t="s">
        <v>831</v>
      </c>
      <c r="D23" s="667"/>
      <c r="E23" s="668"/>
      <c r="F23" s="636"/>
    </row>
    <row r="24" spans="2:8" ht="33.75" customHeight="1">
      <c r="B24" s="665" t="s">
        <v>747</v>
      </c>
      <c r="C24" s="211" t="s">
        <v>832</v>
      </c>
      <c r="D24" s="667"/>
      <c r="E24" s="668"/>
      <c r="F24" s="636"/>
    </row>
    <row r="25" spans="2:8" ht="33.75" customHeight="1">
      <c r="B25" s="665" t="s">
        <v>749</v>
      </c>
      <c r="C25" s="211" t="s">
        <v>833</v>
      </c>
      <c r="D25" s="667"/>
      <c r="E25" s="671"/>
      <c r="F25" s="636"/>
    </row>
    <row r="26" spans="2:8" ht="33.75" customHeight="1">
      <c r="B26" s="665" t="s">
        <v>751</v>
      </c>
      <c r="C26" s="211" t="s">
        <v>834</v>
      </c>
      <c r="D26" s="667"/>
      <c r="E26" s="671"/>
      <c r="F26" s="636"/>
    </row>
    <row r="27" spans="2:8" ht="33.75" customHeight="1">
      <c r="B27" s="672"/>
      <c r="C27" s="673" t="s">
        <v>835</v>
      </c>
      <c r="D27" s="674"/>
      <c r="E27" s="675">
        <f>SUM(E20:E26)</f>
        <v>0</v>
      </c>
      <c r="F27" s="636"/>
    </row>
    <row r="28" spans="2:8" ht="33.75" customHeight="1">
      <c r="B28" s="676"/>
      <c r="C28" s="662" t="s">
        <v>836</v>
      </c>
      <c r="D28" s="677"/>
      <c r="E28" s="678"/>
      <c r="F28" s="636"/>
    </row>
    <row r="29" spans="2:8" ht="33.75" customHeight="1">
      <c r="B29" s="679" t="s">
        <v>739</v>
      </c>
      <c r="C29" s="680" t="s">
        <v>837</v>
      </c>
      <c r="D29" s="667"/>
      <c r="E29" s="668">
        <f>D29*$E$13</f>
        <v>0</v>
      </c>
      <c r="F29" s="636"/>
    </row>
    <row r="30" spans="2:8" ht="51.75" customHeight="1">
      <c r="B30" s="679" t="s">
        <v>741</v>
      </c>
      <c r="C30" s="680" t="s">
        <v>838</v>
      </c>
      <c r="D30" s="681"/>
      <c r="E30" s="668">
        <f t="shared" ref="E30:E36" si="0">D30*$E$13</f>
        <v>0</v>
      </c>
      <c r="F30" s="636"/>
    </row>
    <row r="31" spans="2:8" ht="51" customHeight="1">
      <c r="B31" s="679" t="s">
        <v>743</v>
      </c>
      <c r="C31" s="682" t="s">
        <v>1319</v>
      </c>
      <c r="D31" s="681"/>
      <c r="E31" s="668">
        <f t="shared" si="0"/>
        <v>0</v>
      </c>
      <c r="F31" s="636"/>
    </row>
    <row r="32" spans="2:8" ht="33.75" customHeight="1">
      <c r="B32" s="679" t="s">
        <v>745</v>
      </c>
      <c r="C32" s="680" t="s">
        <v>839</v>
      </c>
      <c r="D32" s="681"/>
      <c r="E32" s="668">
        <f t="shared" si="0"/>
        <v>0</v>
      </c>
      <c r="F32" s="636"/>
    </row>
    <row r="33" spans="2:6" ht="33.75" customHeight="1">
      <c r="B33" s="679" t="s">
        <v>747</v>
      </c>
      <c r="C33" s="680" t="s">
        <v>840</v>
      </c>
      <c r="D33" s="681"/>
      <c r="E33" s="668">
        <f t="shared" si="0"/>
        <v>0</v>
      </c>
      <c r="F33" s="636"/>
    </row>
    <row r="34" spans="2:6" ht="33.75" customHeight="1">
      <c r="B34" s="683" t="s">
        <v>749</v>
      </c>
      <c r="C34" s="684" t="s">
        <v>841</v>
      </c>
      <c r="D34" s="685"/>
      <c r="E34" s="668">
        <f t="shared" si="0"/>
        <v>0</v>
      </c>
      <c r="F34" s="636"/>
    </row>
    <row r="35" spans="2:6" ht="33.75" customHeight="1">
      <c r="B35" s="679" t="s">
        <v>751</v>
      </c>
      <c r="C35" s="680" t="s">
        <v>842</v>
      </c>
      <c r="D35" s="681"/>
      <c r="E35" s="668">
        <f t="shared" si="0"/>
        <v>0</v>
      </c>
      <c r="F35" s="636"/>
    </row>
    <row r="36" spans="2:6" ht="33.75" customHeight="1">
      <c r="B36" s="679" t="s">
        <v>755</v>
      </c>
      <c r="C36" s="680" t="s">
        <v>843</v>
      </c>
      <c r="D36" s="685"/>
      <c r="E36" s="668">
        <f t="shared" si="0"/>
        <v>0</v>
      </c>
      <c r="F36" s="636"/>
    </row>
    <row r="37" spans="2:6" ht="33.75" customHeight="1">
      <c r="B37" s="686"/>
      <c r="C37" s="673" t="s">
        <v>844</v>
      </c>
      <c r="D37" s="674"/>
      <c r="E37" s="675">
        <f>SUM(E29:E36)</f>
        <v>0</v>
      </c>
      <c r="F37" s="636"/>
    </row>
    <row r="38" spans="2:6" ht="33.75" customHeight="1">
      <c r="B38" s="676"/>
      <c r="C38" s="662" t="s">
        <v>845</v>
      </c>
      <c r="D38" s="677"/>
      <c r="E38" s="687"/>
      <c r="F38" s="636"/>
    </row>
    <row r="39" spans="2:6" ht="33.75" customHeight="1">
      <c r="B39" s="644" t="s">
        <v>739</v>
      </c>
      <c r="C39" s="688" t="s">
        <v>759</v>
      </c>
      <c r="D39" s="646"/>
      <c r="E39" s="647">
        <f>D39*$E$13</f>
        <v>0</v>
      </c>
      <c r="F39" s="636"/>
    </row>
    <row r="40" spans="2:6" ht="33.75" customHeight="1" thickBot="1">
      <c r="B40" s="689" t="s">
        <v>741</v>
      </c>
      <c r="C40" s="690" t="s">
        <v>762</v>
      </c>
      <c r="D40" s="691"/>
      <c r="E40" s="647">
        <f>D40*$E$13</f>
        <v>0</v>
      </c>
      <c r="F40" s="636"/>
    </row>
    <row r="41" spans="2:6" ht="33.75" customHeight="1" thickBot="1">
      <c r="B41" s="692" t="s">
        <v>743</v>
      </c>
      <c r="C41" s="693" t="s">
        <v>846</v>
      </c>
      <c r="D41" s="694"/>
      <c r="E41" s="695">
        <f>D41*E13</f>
        <v>0</v>
      </c>
      <c r="F41" s="636"/>
    </row>
    <row r="42" spans="2:6" ht="33.75" customHeight="1">
      <c r="B42" s="212" t="s">
        <v>745</v>
      </c>
      <c r="C42" s="213" t="s">
        <v>768</v>
      </c>
      <c r="D42" s="214"/>
      <c r="E42" s="696">
        <f>D42*E13</f>
        <v>0</v>
      </c>
      <c r="F42" s="636"/>
    </row>
    <row r="43" spans="2:6" ht="31.5" customHeight="1">
      <c r="B43" s="686"/>
      <c r="C43" s="673" t="s">
        <v>847</v>
      </c>
      <c r="D43" s="674"/>
      <c r="E43" s="675">
        <f>SUM(E39:E42)</f>
        <v>0</v>
      </c>
      <c r="F43" s="636"/>
    </row>
    <row r="44" spans="2:6" ht="33.75" customHeight="1">
      <c r="B44" s="686"/>
      <c r="C44" s="672" t="s">
        <v>848</v>
      </c>
      <c r="D44" s="677"/>
      <c r="E44" s="678"/>
      <c r="F44" s="636"/>
    </row>
    <row r="45" spans="2:6" ht="33.75" customHeight="1" thickBot="1">
      <c r="B45" s="697" t="s">
        <v>739</v>
      </c>
      <c r="C45" s="698" t="s">
        <v>849</v>
      </c>
      <c r="D45" s="699"/>
      <c r="E45" s="700">
        <f>D45*E13</f>
        <v>0</v>
      </c>
      <c r="F45" s="636"/>
    </row>
    <row r="46" spans="2:6" ht="33" customHeight="1" thickBot="1">
      <c r="B46" s="701" t="s">
        <v>741</v>
      </c>
      <c r="C46" s="702" t="s">
        <v>850</v>
      </c>
      <c r="D46" s="703"/>
      <c r="E46" s="704">
        <f>D46*E13</f>
        <v>0</v>
      </c>
      <c r="F46" s="636"/>
    </row>
    <row r="47" spans="2:6" ht="34.5" customHeight="1">
      <c r="B47" s="705"/>
      <c r="C47" s="706" t="s">
        <v>851</v>
      </c>
      <c r="D47" s="707"/>
      <c r="E47" s="708">
        <f>E45+E46</f>
        <v>0</v>
      </c>
      <c r="F47" s="636"/>
    </row>
    <row r="48" spans="2:6" ht="39.75" customHeight="1">
      <c r="B48" s="640">
        <v>2</v>
      </c>
      <c r="C48" s="659" t="s">
        <v>852</v>
      </c>
      <c r="D48" s="660"/>
      <c r="E48" s="661">
        <f>E27+E37+E43+E47</f>
        <v>0</v>
      </c>
      <c r="F48" s="636"/>
    </row>
    <row r="49" spans="2:6" ht="33" customHeight="1">
      <c r="B49" s="640">
        <v>3</v>
      </c>
      <c r="C49" s="641" t="s">
        <v>853</v>
      </c>
      <c r="D49" s="642"/>
      <c r="E49" s="643"/>
      <c r="F49" s="636"/>
    </row>
    <row r="50" spans="2:6" ht="39" customHeight="1">
      <c r="B50" s="644" t="s">
        <v>739</v>
      </c>
      <c r="C50" s="688" t="s">
        <v>777</v>
      </c>
      <c r="D50" s="646"/>
      <c r="E50" s="647">
        <f>D50*E13</f>
        <v>0</v>
      </c>
      <c r="F50" s="636"/>
    </row>
    <row r="51" spans="2:6" ht="39" customHeight="1" thickBot="1">
      <c r="B51" s="709" t="s">
        <v>741</v>
      </c>
      <c r="C51" s="710" t="s">
        <v>780</v>
      </c>
      <c r="D51" s="711"/>
      <c r="E51" s="647">
        <f>D51*E13</f>
        <v>0</v>
      </c>
      <c r="F51" s="636"/>
    </row>
    <row r="52" spans="2:6" ht="35.25" customHeight="1" thickBot="1">
      <c r="B52" s="692" t="s">
        <v>743</v>
      </c>
      <c r="C52" s="712" t="s">
        <v>1320</v>
      </c>
      <c r="D52" s="713"/>
      <c r="E52" s="695">
        <f>D52*E13</f>
        <v>0</v>
      </c>
      <c r="F52" s="636"/>
    </row>
    <row r="53" spans="2:6" ht="31.5" customHeight="1">
      <c r="B53" s="714" t="s">
        <v>745</v>
      </c>
      <c r="C53" s="715" t="s">
        <v>854</v>
      </c>
      <c r="D53" s="716"/>
      <c r="E53" s="696">
        <f>D53*E13</f>
        <v>0</v>
      </c>
      <c r="F53" s="636"/>
    </row>
    <row r="54" spans="2:6" ht="31.5" customHeight="1">
      <c r="B54" s="644" t="s">
        <v>747</v>
      </c>
      <c r="C54" s="645" t="s">
        <v>855</v>
      </c>
      <c r="D54" s="691"/>
      <c r="E54" s="647">
        <f>D54*E13</f>
        <v>0</v>
      </c>
      <c r="F54" s="636"/>
    </row>
    <row r="55" spans="2:6" ht="29.25" customHeight="1">
      <c r="B55" s="679" t="s">
        <v>749</v>
      </c>
      <c r="C55" s="680" t="s">
        <v>856</v>
      </c>
      <c r="D55" s="691"/>
      <c r="E55" s="647">
        <f>D55*E13</f>
        <v>0</v>
      </c>
      <c r="F55" s="636"/>
    </row>
    <row r="56" spans="2:6" ht="32.25" customHeight="1">
      <c r="B56" s="640">
        <v>3</v>
      </c>
      <c r="C56" s="717" t="s">
        <v>857</v>
      </c>
      <c r="D56" s="718"/>
      <c r="E56" s="719">
        <f>SUM(E50:E55)</f>
        <v>0</v>
      </c>
      <c r="F56" s="636"/>
    </row>
    <row r="57" spans="2:6" ht="33" customHeight="1">
      <c r="B57" s="640">
        <v>4</v>
      </c>
      <c r="C57" s="641" t="s">
        <v>858</v>
      </c>
      <c r="D57" s="642"/>
      <c r="E57" s="643"/>
      <c r="F57" s="636"/>
    </row>
    <row r="58" spans="2:6" ht="33" customHeight="1">
      <c r="B58" s="679" t="s">
        <v>739</v>
      </c>
      <c r="C58" s="720" t="s">
        <v>789</v>
      </c>
      <c r="D58" s="667"/>
      <c r="E58" s="668">
        <f>D58*$E$13</f>
        <v>0</v>
      </c>
      <c r="F58" s="636"/>
    </row>
    <row r="59" spans="2:6" ht="30.75" customHeight="1">
      <c r="B59" s="679" t="s">
        <v>741</v>
      </c>
      <c r="C59" s="721" t="s">
        <v>859</v>
      </c>
      <c r="D59" s="667"/>
      <c r="E59" s="668">
        <f t="shared" ref="E59:E61" si="1">D59*$E$13</f>
        <v>0</v>
      </c>
      <c r="F59" s="636"/>
    </row>
    <row r="60" spans="2:6" ht="35.25" customHeight="1">
      <c r="B60" s="679" t="s">
        <v>743</v>
      </c>
      <c r="C60" s="721" t="s">
        <v>792</v>
      </c>
      <c r="D60" s="667"/>
      <c r="E60" s="668">
        <f t="shared" si="1"/>
        <v>0</v>
      </c>
      <c r="F60" s="636"/>
    </row>
    <row r="61" spans="2:6" ht="29.25" customHeight="1" thickBot="1">
      <c r="B61" s="697" t="s">
        <v>745</v>
      </c>
      <c r="C61" s="722" t="s">
        <v>793</v>
      </c>
      <c r="D61" s="699"/>
      <c r="E61" s="668">
        <f t="shared" si="1"/>
        <v>0</v>
      </c>
      <c r="F61" s="723"/>
    </row>
    <row r="62" spans="2:6" ht="36" customHeight="1" thickBot="1">
      <c r="B62" s="701" t="s">
        <v>747</v>
      </c>
      <c r="C62" s="724" t="s">
        <v>795</v>
      </c>
      <c r="D62" s="694"/>
      <c r="E62" s="704">
        <f>D62*E13</f>
        <v>0</v>
      </c>
      <c r="F62" s="636"/>
    </row>
    <row r="63" spans="2:6" ht="39" customHeight="1">
      <c r="B63" s="725" t="s">
        <v>749</v>
      </c>
      <c r="C63" s="726" t="s">
        <v>860</v>
      </c>
      <c r="D63" s="727"/>
      <c r="E63" s="728">
        <f>D63*E13</f>
        <v>0</v>
      </c>
      <c r="F63" s="729"/>
    </row>
    <row r="64" spans="2:6" ht="38.25" customHeight="1" thickBot="1">
      <c r="B64" s="697" t="s">
        <v>751</v>
      </c>
      <c r="C64" s="730" t="s">
        <v>797</v>
      </c>
      <c r="D64" s="699"/>
      <c r="E64" s="700">
        <f>D64*E13</f>
        <v>0</v>
      </c>
      <c r="F64" s="636"/>
    </row>
    <row r="65" spans="2:8" ht="37.5" customHeight="1" thickBot="1">
      <c r="B65" s="701" t="s">
        <v>755</v>
      </c>
      <c r="C65" s="724" t="s">
        <v>861</v>
      </c>
      <c r="D65" s="703"/>
      <c r="E65" s="704">
        <f>D65*E13</f>
        <v>0</v>
      </c>
      <c r="F65" s="636"/>
    </row>
    <row r="66" spans="2:8" ht="36" customHeight="1">
      <c r="B66" s="731">
        <v>4</v>
      </c>
      <c r="C66" s="732" t="s">
        <v>862</v>
      </c>
      <c r="D66" s="733"/>
      <c r="E66" s="734">
        <f>SUM(E58:E65)</f>
        <v>0</v>
      </c>
      <c r="F66" s="636"/>
    </row>
    <row r="67" spans="2:8" ht="36" customHeight="1">
      <c r="B67" s="1101" t="s">
        <v>863</v>
      </c>
      <c r="C67" s="1102"/>
      <c r="D67" s="735"/>
      <c r="E67" s="736">
        <f>E37+E43+E47+E56+E66</f>
        <v>0</v>
      </c>
      <c r="F67" s="636"/>
      <c r="H67" s="737"/>
    </row>
    <row r="68" spans="2:8" ht="36.75" customHeight="1">
      <c r="B68" s="640">
        <v>5</v>
      </c>
      <c r="C68" s="641" t="s">
        <v>864</v>
      </c>
      <c r="D68" s="642"/>
      <c r="E68" s="643"/>
      <c r="F68" s="636"/>
    </row>
    <row r="69" spans="2:8" ht="32.25" customHeight="1">
      <c r="B69" s="679" t="s">
        <v>739</v>
      </c>
      <c r="C69" s="680" t="s">
        <v>865</v>
      </c>
      <c r="D69" s="667"/>
      <c r="E69" s="215"/>
      <c r="F69" s="636"/>
    </row>
    <row r="70" spans="2:8" ht="28.5" customHeight="1">
      <c r="B70" s="679" t="s">
        <v>741</v>
      </c>
      <c r="C70" s="680" t="s">
        <v>866</v>
      </c>
      <c r="D70" s="738"/>
      <c r="E70" s="668"/>
      <c r="F70" s="636"/>
    </row>
    <row r="71" spans="2:8" ht="30" customHeight="1">
      <c r="B71" s="679" t="s">
        <v>743</v>
      </c>
      <c r="C71" s="680" t="s">
        <v>867</v>
      </c>
      <c r="D71" s="738"/>
      <c r="E71" s="668"/>
      <c r="F71" s="636"/>
    </row>
    <row r="72" spans="2:8" ht="32.25" customHeight="1">
      <c r="B72" s="640">
        <v>5</v>
      </c>
      <c r="C72" s="659" t="s">
        <v>868</v>
      </c>
      <c r="D72" s="660"/>
      <c r="E72" s="739">
        <f>SUM(E69:E71)</f>
        <v>0</v>
      </c>
      <c r="F72" s="636"/>
    </row>
    <row r="73" spans="2:8" ht="33" customHeight="1">
      <c r="B73" s="1103" t="s">
        <v>869</v>
      </c>
      <c r="C73" s="1104"/>
      <c r="D73" s="740"/>
      <c r="E73" s="741">
        <f>E17+E48+E56+E66+E72</f>
        <v>0</v>
      </c>
      <c r="F73" s="636"/>
    </row>
    <row r="74" spans="2:8" ht="39" customHeight="1">
      <c r="B74" s="742" t="s">
        <v>15</v>
      </c>
      <c r="C74" s="1105"/>
      <c r="D74" s="1106"/>
      <c r="E74" s="1106"/>
      <c r="F74" s="636"/>
    </row>
    <row r="75" spans="2:8" ht="81.75" customHeight="1">
      <c r="B75" s="743" t="s">
        <v>870</v>
      </c>
      <c r="C75" s="1089" t="s">
        <v>871</v>
      </c>
      <c r="D75" s="1090"/>
      <c r="E75" s="1091"/>
      <c r="F75" s="636"/>
    </row>
    <row r="76" spans="2:8" ht="43.5" customHeight="1">
      <c r="B76" s="753" t="s">
        <v>872</v>
      </c>
      <c r="C76" s="1092" t="s">
        <v>1321</v>
      </c>
      <c r="D76" s="1093"/>
      <c r="E76" s="1094"/>
      <c r="F76" s="636"/>
    </row>
    <row r="77" spans="2:8" ht="40.5" customHeight="1">
      <c r="B77" s="743" t="s">
        <v>873</v>
      </c>
      <c r="C77" s="1089" t="s">
        <v>874</v>
      </c>
      <c r="D77" s="1090"/>
      <c r="E77" s="1091"/>
      <c r="F77" s="636"/>
    </row>
    <row r="78" spans="2:8" ht="51.75" customHeight="1">
      <c r="B78" s="744" t="s">
        <v>875</v>
      </c>
      <c r="C78" s="1089" t="s">
        <v>876</v>
      </c>
      <c r="D78" s="1090"/>
      <c r="E78" s="1091"/>
      <c r="F78" s="636"/>
    </row>
    <row r="79" spans="2:8" ht="33" customHeight="1">
      <c r="B79" s="745"/>
      <c r="C79" s="746"/>
      <c r="D79" s="747"/>
      <c r="E79" s="748"/>
      <c r="F79" s="636"/>
    </row>
    <row r="80" spans="2:8" ht="33" customHeight="1">
      <c r="B80" s="745"/>
      <c r="C80" s="746"/>
      <c r="D80" s="747"/>
      <c r="E80" s="748"/>
      <c r="F80" s="636"/>
    </row>
    <row r="81" spans="2:6" ht="33" customHeight="1">
      <c r="B81" s="745"/>
      <c r="C81" s="746"/>
      <c r="D81" s="747"/>
      <c r="E81" s="748"/>
      <c r="F81" s="636"/>
    </row>
    <row r="82" spans="2:6" ht="33" customHeight="1">
      <c r="B82" s="745"/>
      <c r="C82" s="746"/>
      <c r="D82" s="747"/>
      <c r="E82" s="748"/>
      <c r="F82" s="636"/>
    </row>
    <row r="83" spans="2:6" ht="33" customHeight="1">
      <c r="B83" s="745"/>
      <c r="C83" s="746"/>
      <c r="D83" s="747"/>
      <c r="E83" s="748"/>
      <c r="F83" s="636"/>
    </row>
    <row r="84" spans="2:6" ht="33" customHeight="1">
      <c r="B84" s="745"/>
      <c r="C84" s="746"/>
      <c r="D84" s="747"/>
      <c r="E84" s="748"/>
      <c r="F84" s="636"/>
    </row>
    <row r="85" spans="2:6" ht="33" customHeight="1">
      <c r="B85" s="745"/>
      <c r="C85" s="746"/>
      <c r="D85" s="747"/>
      <c r="E85" s="748"/>
      <c r="F85" s="636"/>
    </row>
    <row r="86" spans="2:6" ht="33" customHeight="1">
      <c r="B86" s="745"/>
      <c r="C86" s="746"/>
      <c r="D86" s="747"/>
      <c r="E86" s="748"/>
      <c r="F86" s="636"/>
    </row>
    <row r="87" spans="2:6" ht="33" customHeight="1">
      <c r="B87" s="745"/>
      <c r="C87" s="746"/>
      <c r="D87" s="747"/>
      <c r="E87" s="748"/>
      <c r="F87" s="63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T11"/>
  <sheetViews>
    <sheetView showGridLines="0" zoomScale="90" zoomScaleNormal="90" workbookViewId="0">
      <selection activeCell="B27" sqref="B27"/>
    </sheetView>
  </sheetViews>
  <sheetFormatPr defaultColWidth="11.42578125" defaultRowHeight="12.75"/>
  <cols>
    <col min="1" max="1" width="5.140625" style="202" customWidth="1"/>
    <col min="2" max="2" width="56.28515625" style="202" customWidth="1"/>
    <col min="3" max="3" width="14.140625" style="202" customWidth="1"/>
    <col min="4" max="4" width="13.5703125" style="202" customWidth="1"/>
    <col min="5" max="5" width="13.140625" style="202" customWidth="1"/>
    <col min="6" max="6" width="13.28515625" style="202" customWidth="1"/>
    <col min="7" max="7" width="11.28515625" style="202" customWidth="1"/>
    <col min="8" max="8" width="13" style="202" customWidth="1"/>
    <col min="9" max="9" width="12" style="202" customWidth="1"/>
    <col min="10" max="10" width="12.7109375" style="202" customWidth="1"/>
    <col min="11" max="11" width="13.42578125" style="202" customWidth="1"/>
    <col min="12" max="12" width="13.28515625" style="202" customWidth="1"/>
    <col min="13" max="13" width="11.28515625" style="202" customWidth="1"/>
    <col min="14" max="14" width="14.28515625" style="202" customWidth="1"/>
    <col min="15" max="16384" width="11.42578125" style="202"/>
  </cols>
  <sheetData>
    <row r="2" spans="2:20" ht="23.25" customHeight="1">
      <c r="B2" s="1125" t="s">
        <v>877</v>
      </c>
      <c r="C2" s="1107" t="str">
        <f>Áreas_edf_e_Descrição_postos!C16</f>
        <v>Supervisor</v>
      </c>
      <c r="D2" s="1108"/>
      <c r="E2" s="1108"/>
      <c r="F2" s="1108"/>
      <c r="G2" s="1108"/>
      <c r="H2" s="1109"/>
      <c r="I2" s="1107" t="str">
        <f>Áreas_edf_e_Descrição_postos!C17</f>
        <v>Garçom</v>
      </c>
      <c r="J2" s="1108"/>
      <c r="K2" s="1108"/>
      <c r="L2" s="1108"/>
      <c r="M2" s="1108"/>
      <c r="N2" s="1109"/>
      <c r="O2" s="1107" t="str">
        <f>Áreas_edf_e_Descrição_postos!C18</f>
        <v>Copeiro</v>
      </c>
      <c r="P2" s="1108"/>
      <c r="Q2" s="1108"/>
      <c r="R2" s="1108"/>
      <c r="S2" s="1108"/>
      <c r="T2" s="1109"/>
    </row>
    <row r="3" spans="2:20" ht="21.75" customHeight="1">
      <c r="B3" s="1125"/>
      <c r="C3" s="1110"/>
      <c r="D3" s="1111"/>
      <c r="E3" s="1111"/>
      <c r="F3" s="1111"/>
      <c r="G3" s="1111"/>
      <c r="H3" s="1112"/>
      <c r="I3" s="1110"/>
      <c r="J3" s="1111"/>
      <c r="K3" s="1111"/>
      <c r="L3" s="1111"/>
      <c r="M3" s="1111"/>
      <c r="N3" s="1112"/>
      <c r="O3" s="1110"/>
      <c r="P3" s="1111"/>
      <c r="Q3" s="1111"/>
      <c r="R3" s="1111"/>
      <c r="S3" s="1111"/>
      <c r="T3" s="1112"/>
    </row>
    <row r="4" spans="2:20" ht="22.5" customHeight="1">
      <c r="B4" s="203" t="s">
        <v>878</v>
      </c>
      <c r="C4" s="1113"/>
      <c r="D4" s="1114"/>
      <c r="E4" s="1114"/>
      <c r="F4" s="1114"/>
      <c r="G4" s="1114"/>
      <c r="H4" s="1115"/>
      <c r="I4" s="1113"/>
      <c r="J4" s="1114"/>
      <c r="K4" s="1114"/>
      <c r="L4" s="1114"/>
      <c r="M4" s="1114"/>
      <c r="N4" s="1115"/>
      <c r="O4" s="1113"/>
      <c r="P4" s="1114"/>
      <c r="Q4" s="1114"/>
      <c r="R4" s="1114"/>
      <c r="S4" s="1114"/>
      <c r="T4" s="1115"/>
    </row>
    <row r="5" spans="2:20" ht="45">
      <c r="B5" s="1126" t="s">
        <v>879</v>
      </c>
      <c r="C5" s="204" t="s">
        <v>880</v>
      </c>
      <c r="D5" s="204" t="s">
        <v>881</v>
      </c>
      <c r="E5" s="204" t="s">
        <v>882</v>
      </c>
      <c r="F5" s="204" t="s">
        <v>883</v>
      </c>
      <c r="G5" s="204" t="s">
        <v>884</v>
      </c>
      <c r="H5" s="205" t="s">
        <v>687</v>
      </c>
      <c r="I5" s="204" t="s">
        <v>880</v>
      </c>
      <c r="J5" s="204" t="s">
        <v>881</v>
      </c>
      <c r="K5" s="204" t="s">
        <v>882</v>
      </c>
      <c r="L5" s="204" t="s">
        <v>883</v>
      </c>
      <c r="M5" s="204" t="s">
        <v>884</v>
      </c>
      <c r="N5" s="205" t="s">
        <v>687</v>
      </c>
      <c r="O5" s="204" t="s">
        <v>880</v>
      </c>
      <c r="P5" s="204" t="s">
        <v>881</v>
      </c>
      <c r="Q5" s="204" t="s">
        <v>882</v>
      </c>
      <c r="R5" s="204" t="s">
        <v>883</v>
      </c>
      <c r="S5" s="204" t="s">
        <v>884</v>
      </c>
      <c r="T5" s="205" t="s">
        <v>687</v>
      </c>
    </row>
    <row r="6" spans="2:20" ht="24" customHeight="1">
      <c r="B6" s="1127"/>
      <c r="C6" s="206">
        <v>8.3299999999999999E-2</v>
      </c>
      <c r="D6" s="206">
        <v>0.1111</v>
      </c>
      <c r="E6" s="206">
        <v>0.04</v>
      </c>
      <c r="F6" s="206">
        <v>3.1699999999999999E-2</v>
      </c>
      <c r="G6" s="206">
        <v>4.2200000000000001E-2</v>
      </c>
      <c r="H6" s="206">
        <v>0.30830000000000002</v>
      </c>
      <c r="I6" s="206">
        <v>8.3299999999999999E-2</v>
      </c>
      <c r="J6" s="206">
        <v>0.1111</v>
      </c>
      <c r="K6" s="206">
        <v>0.04</v>
      </c>
      <c r="L6" s="206">
        <v>3.1699999999999999E-2</v>
      </c>
      <c r="M6" s="206">
        <v>4.2200000000000001E-2</v>
      </c>
      <c r="N6" s="206">
        <v>0.30830000000000002</v>
      </c>
      <c r="O6" s="206">
        <v>8.3299999999999999E-2</v>
      </c>
      <c r="P6" s="206">
        <v>0.1111</v>
      </c>
      <c r="Q6" s="206">
        <v>0.04</v>
      </c>
      <c r="R6" s="206">
        <v>3.1699999999999999E-2</v>
      </c>
      <c r="S6" s="206">
        <v>4.2200000000000001E-2</v>
      </c>
      <c r="T6" s="206">
        <v>0.30830000000000002</v>
      </c>
    </row>
    <row r="7" spans="2:20" ht="24" customHeight="1">
      <c r="B7" s="207" t="s">
        <v>885</v>
      </c>
      <c r="C7" s="208">
        <v>0</v>
      </c>
      <c r="D7" s="208">
        <v>0</v>
      </c>
      <c r="E7" s="208">
        <v>0</v>
      </c>
      <c r="F7" s="208">
        <v>0</v>
      </c>
      <c r="G7" s="208">
        <v>0</v>
      </c>
      <c r="H7" s="208">
        <v>0</v>
      </c>
      <c r="I7" s="208">
        <v>0</v>
      </c>
      <c r="J7" s="208">
        <v>0</v>
      </c>
      <c r="K7" s="208">
        <v>0</v>
      </c>
      <c r="L7" s="208">
        <v>0</v>
      </c>
      <c r="M7" s="208">
        <v>0</v>
      </c>
      <c r="N7" s="208">
        <v>0</v>
      </c>
      <c r="O7" s="208">
        <v>0</v>
      </c>
      <c r="P7" s="208">
        <v>0</v>
      </c>
      <c r="Q7" s="208">
        <v>0</v>
      </c>
      <c r="R7" s="208">
        <v>0</v>
      </c>
      <c r="S7" s="208">
        <v>0</v>
      </c>
      <c r="T7" s="208">
        <v>0</v>
      </c>
    </row>
    <row r="8" spans="2:20" ht="24" customHeight="1">
      <c r="B8" s="207" t="s">
        <v>886</v>
      </c>
      <c r="C8" s="1116">
        <f>Áreas_edf_e_Descrição_postos!E16</f>
        <v>1</v>
      </c>
      <c r="D8" s="1117"/>
      <c r="E8" s="1117"/>
      <c r="F8" s="1117"/>
      <c r="G8" s="1117"/>
      <c r="H8" s="1118"/>
      <c r="I8" s="1116">
        <f>Áreas_edf_e_Descrição_postos!E17</f>
        <v>12</v>
      </c>
      <c r="J8" s="1117"/>
      <c r="K8" s="1117"/>
      <c r="L8" s="1117"/>
      <c r="M8" s="1117"/>
      <c r="N8" s="1118"/>
      <c r="O8" s="1116">
        <f>Áreas_edf_e_Descrição_postos!E18</f>
        <v>19</v>
      </c>
      <c r="P8" s="1117"/>
      <c r="Q8" s="1117"/>
      <c r="R8" s="1117"/>
      <c r="S8" s="1117"/>
      <c r="T8" s="1118"/>
    </row>
    <row r="9" spans="2:20" ht="36.75" customHeight="1">
      <c r="B9" s="209" t="s">
        <v>887</v>
      </c>
      <c r="C9" s="1119">
        <f>H7*C8</f>
        <v>0</v>
      </c>
      <c r="D9" s="1120"/>
      <c r="E9" s="1120"/>
      <c r="F9" s="1120"/>
      <c r="G9" s="1120"/>
      <c r="H9" s="1121"/>
      <c r="I9" s="1119">
        <f>N7*I8</f>
        <v>0</v>
      </c>
      <c r="J9" s="1120"/>
      <c r="K9" s="1120"/>
      <c r="L9" s="1120"/>
      <c r="M9" s="1120"/>
      <c r="N9" s="1121"/>
      <c r="O9" s="1119">
        <f>T7*O8</f>
        <v>0</v>
      </c>
      <c r="P9" s="1120"/>
      <c r="Q9" s="1120"/>
      <c r="R9" s="1120"/>
      <c r="S9" s="1120"/>
      <c r="T9" s="1121"/>
    </row>
    <row r="11" spans="2:20">
      <c r="J11" s="210"/>
    </row>
  </sheetData>
  <mergeCells count="14">
    <mergeCell ref="B5:B6"/>
    <mergeCell ref="B2:B3"/>
    <mergeCell ref="C2:H3"/>
    <mergeCell ref="I2:N3"/>
    <mergeCell ref="C4:H4"/>
    <mergeCell ref="I4:N4"/>
    <mergeCell ref="O2:T3"/>
    <mergeCell ref="O4:T4"/>
    <mergeCell ref="O8:T8"/>
    <mergeCell ref="O9:T9"/>
    <mergeCell ref="C8:H8"/>
    <mergeCell ref="I8:N8"/>
    <mergeCell ref="C9:H9"/>
    <mergeCell ref="I9:N9"/>
  </mergeCells>
  <printOptions horizontalCentered="1" verticalCentered="1"/>
  <pageMargins left="0.511811023622047" right="0.511811023622047" top="0.78740157480314998" bottom="0.78740157480314998" header="0.31496062992126" footer="0.31496062992126"/>
  <pageSetup paperSize="9" scale="42" orientation="landscape"/>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B2:ID26"/>
  <sheetViews>
    <sheetView showGridLines="0" zoomScale="116" zoomScaleNormal="116" zoomScaleSheetLayoutView="90" workbookViewId="0">
      <selection activeCell="J12" sqref="J12"/>
    </sheetView>
  </sheetViews>
  <sheetFormatPr defaultColWidth="9.7109375" defaultRowHeight="15.75"/>
  <cols>
    <col min="1" max="1" width="9.7109375" style="121"/>
    <col min="2" max="2" width="16.7109375" style="120" customWidth="1"/>
    <col min="3" max="3" width="61.85546875" style="120" customWidth="1"/>
    <col min="4" max="4" width="8.140625" style="120" customWidth="1"/>
    <col min="5" max="5" width="15.140625" style="120" customWidth="1"/>
    <col min="6" max="6" width="19.85546875" style="120" customWidth="1"/>
    <col min="7" max="7" width="17.85546875" style="120" bestFit="1" customWidth="1"/>
    <col min="8" max="8" width="30.85546875" style="122" customWidth="1"/>
    <col min="9" max="9" width="7.85546875" style="122" customWidth="1"/>
    <col min="10" max="10" width="24.140625" style="123" customWidth="1"/>
    <col min="11" max="11" width="16.85546875" style="122" customWidth="1"/>
    <col min="12" max="12" width="20.28515625" style="122" customWidth="1"/>
    <col min="13" max="13" width="19.85546875" style="120" customWidth="1"/>
    <col min="14" max="14" width="30.42578125" style="120" customWidth="1"/>
    <col min="15" max="15" width="32.85546875" style="120" customWidth="1"/>
    <col min="16" max="238" width="9.7109375" style="120"/>
    <col min="239" max="16384" width="9.7109375" style="121"/>
  </cols>
  <sheetData>
    <row r="2" spans="2:238" ht="20.25" customHeight="1">
      <c r="B2" s="1140" t="s">
        <v>1258</v>
      </c>
      <c r="C2" s="1141"/>
      <c r="D2" s="1141"/>
      <c r="E2" s="1141"/>
      <c r="F2" s="1141"/>
      <c r="G2" s="1141"/>
      <c r="H2" s="1142"/>
      <c r="I2" s="166"/>
      <c r="J2" s="167"/>
      <c r="K2" s="1143" t="s">
        <v>895</v>
      </c>
      <c r="L2" s="1143"/>
      <c r="M2" s="1143"/>
      <c r="N2" s="1128" t="s">
        <v>896</v>
      </c>
      <c r="ID2" s="121"/>
    </row>
    <row r="3" spans="2:238" ht="18.75" thickBot="1">
      <c r="B3" s="124" t="s">
        <v>810</v>
      </c>
      <c r="C3" s="124" t="s">
        <v>888</v>
      </c>
      <c r="D3" s="124" t="s">
        <v>897</v>
      </c>
      <c r="E3" s="124" t="s">
        <v>898</v>
      </c>
      <c r="F3" s="125" t="s">
        <v>899</v>
      </c>
      <c r="G3" s="125" t="s">
        <v>900</v>
      </c>
      <c r="H3" s="126" t="s">
        <v>901</v>
      </c>
      <c r="I3" s="169"/>
      <c r="J3" s="170"/>
      <c r="K3" s="1148" t="s">
        <v>902</v>
      </c>
      <c r="L3" s="171" t="s">
        <v>903</v>
      </c>
      <c r="M3" s="172" t="s">
        <v>904</v>
      </c>
      <c r="N3" s="1129"/>
      <c r="ID3" s="121"/>
    </row>
    <row r="4" spans="2:238" ht="21" thickBot="1">
      <c r="B4" s="127">
        <v>1</v>
      </c>
      <c r="C4" s="1144" t="s">
        <v>905</v>
      </c>
      <c r="D4" s="1144"/>
      <c r="E4" s="1144"/>
      <c r="F4" s="1144"/>
      <c r="G4" s="1145"/>
      <c r="H4" s="129">
        <f>ROUND(SUM(G5:G7),2)</f>
        <v>0</v>
      </c>
      <c r="I4" s="174" t="s">
        <v>739</v>
      </c>
      <c r="J4" s="175"/>
      <c r="K4" s="1149"/>
      <c r="L4" s="176">
        <f>SUM(L5:L7)</f>
        <v>0</v>
      </c>
      <c r="M4" s="177">
        <f>L4*12</f>
        <v>0</v>
      </c>
      <c r="N4" s="178" t="e">
        <f>M4/M10</f>
        <v>#DIV/0!</v>
      </c>
      <c r="ID4" s="121"/>
    </row>
    <row r="5" spans="2:238" ht="18">
      <c r="B5" s="130" t="s">
        <v>893</v>
      </c>
      <c r="C5" s="130" t="str">
        <f>Áreas_edf_e_Descrição_postos!C16</f>
        <v>Supervisor</v>
      </c>
      <c r="D5" s="130" t="s">
        <v>906</v>
      </c>
      <c r="E5" s="130">
        <f>Áreas_edf_e_Descrição_postos!E16</f>
        <v>1</v>
      </c>
      <c r="F5" s="131">
        <v>0</v>
      </c>
      <c r="G5" s="131">
        <f>ROUND(F5*E5,2)</f>
        <v>0</v>
      </c>
      <c r="H5" s="132"/>
      <c r="I5" s="179"/>
      <c r="J5" s="175"/>
      <c r="K5" s="180">
        <f>ROUND((F5+F5*E11+F5*E12+F5*E11*E12)/(1-E14),2)</f>
        <v>0</v>
      </c>
      <c r="L5" s="181">
        <f t="shared" ref="L5:L6" si="0">E5*K5</f>
        <v>0</v>
      </c>
      <c r="M5" s="182"/>
      <c r="N5" s="168"/>
      <c r="ID5" s="121"/>
    </row>
    <row r="6" spans="2:238" ht="18">
      <c r="B6" s="130" t="s">
        <v>894</v>
      </c>
      <c r="C6" s="130" t="str">
        <f>Áreas_edf_e_Descrição_postos!C17</f>
        <v>Garçom</v>
      </c>
      <c r="D6" s="130" t="s">
        <v>906</v>
      </c>
      <c r="E6" s="130">
        <f>Áreas_edf_e_Descrição_postos!E17</f>
        <v>12</v>
      </c>
      <c r="F6" s="131">
        <v>0</v>
      </c>
      <c r="G6" s="131">
        <f t="shared" ref="G6" si="1">ROUND(F6*E6,2)</f>
        <v>0</v>
      </c>
      <c r="H6" s="132"/>
      <c r="I6" s="179"/>
      <c r="J6" s="175"/>
      <c r="K6" s="180">
        <f>ROUND((F6+F6*$E$11+F6*$E$12+F6*$E$11*$E$12)/(1-$E$14),2)</f>
        <v>0</v>
      </c>
      <c r="L6" s="181">
        <f t="shared" si="0"/>
        <v>0</v>
      </c>
      <c r="M6" s="182"/>
      <c r="N6" s="183"/>
      <c r="ID6" s="121"/>
    </row>
    <row r="7" spans="2:238" ht="18.75" thickBot="1">
      <c r="B7" s="130" t="s">
        <v>894</v>
      </c>
      <c r="C7" s="130" t="str">
        <f>Áreas_edf_e_Descrição_postos!C18</f>
        <v>Copeiro</v>
      </c>
      <c r="D7" s="130" t="s">
        <v>906</v>
      </c>
      <c r="E7" s="130">
        <f>Áreas_edf_e_Descrição_postos!E18</f>
        <v>19</v>
      </c>
      <c r="F7" s="131">
        <v>0</v>
      </c>
      <c r="G7" s="131">
        <f t="shared" ref="G7" si="2">ROUND(F7*E7,2)</f>
        <v>0</v>
      </c>
      <c r="H7" s="132"/>
      <c r="I7" s="179"/>
      <c r="J7" s="175"/>
      <c r="K7" s="180">
        <f>ROUND((F7+F7*$E$11+F7*$E$12+F7*$E$11*$E$12)/(1-$E$14),2)</f>
        <v>0</v>
      </c>
      <c r="L7" s="181">
        <f t="shared" ref="L7" si="3">E7*K7</f>
        <v>0</v>
      </c>
      <c r="M7" s="182"/>
      <c r="N7" s="183"/>
      <c r="ID7" s="121"/>
    </row>
    <row r="8" spans="2:238" ht="21" thickBot="1">
      <c r="B8" s="133">
        <v>2</v>
      </c>
      <c r="C8" s="1144" t="s">
        <v>1172</v>
      </c>
      <c r="D8" s="1146"/>
      <c r="E8" s="1146"/>
      <c r="F8" s="1146"/>
      <c r="G8" s="1147"/>
      <c r="H8" s="129">
        <f>ROUND(G9,2)</f>
        <v>0</v>
      </c>
      <c r="I8" s="189" t="s">
        <v>741</v>
      </c>
      <c r="J8" s="175"/>
      <c r="K8" s="182"/>
      <c r="L8" s="176">
        <f>ROUND((H8+H8*E11+H8*E12+H8*E11*E12)/(1-E14),2)</f>
        <v>0</v>
      </c>
      <c r="M8" s="177">
        <f>L8*12</f>
        <v>0</v>
      </c>
      <c r="N8" s="178" t="e">
        <f>M8/M10</f>
        <v>#DIV/0!</v>
      </c>
      <c r="ID8" s="121"/>
    </row>
    <row r="9" spans="2:238" ht="63" customHeight="1">
      <c r="B9" s="130" t="s">
        <v>907</v>
      </c>
      <c r="C9" s="758" t="s">
        <v>1173</v>
      </c>
      <c r="D9" s="130" t="s">
        <v>906</v>
      </c>
      <c r="E9" s="130">
        <v>1</v>
      </c>
      <c r="F9" s="135">
        <v>0</v>
      </c>
      <c r="G9" s="481">
        <f>ROUND(F9,2)</f>
        <v>0</v>
      </c>
      <c r="H9" s="132"/>
      <c r="I9" s="179"/>
      <c r="J9" s="175"/>
      <c r="K9" s="182"/>
      <c r="M9" s="182"/>
      <c r="N9" s="178"/>
      <c r="ID9" s="121"/>
    </row>
    <row r="10" spans="2:238" ht="21.75" customHeight="1" thickBot="1">
      <c r="B10" s="133">
        <v>6</v>
      </c>
      <c r="C10" s="128" t="s">
        <v>908</v>
      </c>
      <c r="D10" s="137"/>
      <c r="E10" s="137"/>
      <c r="F10" s="138"/>
      <c r="G10" s="138"/>
      <c r="H10" s="139"/>
      <c r="I10" s="190"/>
      <c r="J10" s="191"/>
      <c r="K10" s="192"/>
      <c r="L10" s="193">
        <f>SUM(L5:L7,L8)</f>
        <v>0</v>
      </c>
      <c r="M10" s="193">
        <f>M4+M8</f>
        <v>0</v>
      </c>
      <c r="N10" s="173" t="e">
        <f>SUM(N4:N9)</f>
        <v>#DIV/0!</v>
      </c>
      <c r="ID10" s="121"/>
    </row>
    <row r="11" spans="2:238" ht="21" thickBot="1">
      <c r="B11" s="140" t="s">
        <v>909</v>
      </c>
      <c r="C11" s="130" t="s">
        <v>910</v>
      </c>
      <c r="D11" s="130"/>
      <c r="E11" s="141"/>
      <c r="F11" s="142"/>
      <c r="G11" s="143"/>
      <c r="H11" s="129">
        <f>ROUND(E11*(H4++H8),2)</f>
        <v>0</v>
      </c>
      <c r="I11" s="174" t="s">
        <v>743</v>
      </c>
      <c r="J11" s="194"/>
      <c r="K11" s="195"/>
      <c r="ID11" s="121"/>
    </row>
    <row r="12" spans="2:238" ht="21" thickBot="1">
      <c r="B12" s="144" t="s">
        <v>911</v>
      </c>
      <c r="C12" s="134" t="s">
        <v>912</v>
      </c>
      <c r="D12" s="134"/>
      <c r="E12" s="145"/>
      <c r="F12" s="146"/>
      <c r="G12" s="147"/>
      <c r="H12" s="129">
        <f>ROUND(E12*(H4+H8+H11),2)</f>
        <v>0</v>
      </c>
      <c r="I12" s="174" t="s">
        <v>745</v>
      </c>
      <c r="J12" s="194"/>
      <c r="ID12" s="121"/>
    </row>
    <row r="13" spans="2:238" ht="21" thickBot="1">
      <c r="B13" s="1134" t="s">
        <v>913</v>
      </c>
      <c r="C13" s="1134"/>
      <c r="D13" s="1134"/>
      <c r="E13" s="1135"/>
      <c r="F13" s="1135"/>
      <c r="G13" s="1134"/>
      <c r="H13" s="131">
        <f>H11+H12</f>
        <v>0</v>
      </c>
      <c r="I13" s="196"/>
      <c r="J13" s="194"/>
      <c r="ID13" s="121"/>
    </row>
    <row r="14" spans="2:238" ht="18.75" thickBot="1">
      <c r="B14" s="148" t="s">
        <v>914</v>
      </c>
      <c r="C14" s="149" t="s">
        <v>915</v>
      </c>
      <c r="D14" s="150"/>
      <c r="E14" s="151"/>
      <c r="F14" s="152" t="s">
        <v>916</v>
      </c>
      <c r="G14" s="153" t="s">
        <v>917</v>
      </c>
      <c r="H14" s="131">
        <f>E14*H23</f>
        <v>0</v>
      </c>
      <c r="I14" s="197"/>
      <c r="J14" s="198"/>
      <c r="L14" s="482"/>
      <c r="ID14" s="121"/>
    </row>
    <row r="15" spans="2:238" ht="18">
      <c r="B15" s="140" t="s">
        <v>918</v>
      </c>
      <c r="C15" s="154" t="s">
        <v>919</v>
      </c>
      <c r="D15" s="155"/>
      <c r="E15" s="156"/>
      <c r="F15" s="157"/>
      <c r="G15" s="157"/>
      <c r="H15" s="158"/>
      <c r="I15" s="199"/>
      <c r="J15" s="194"/>
      <c r="ID15" s="121"/>
    </row>
    <row r="16" spans="2:238" ht="18">
      <c r="B16" s="140" t="s">
        <v>920</v>
      </c>
      <c r="C16" s="154" t="s">
        <v>921</v>
      </c>
      <c r="D16" s="155"/>
      <c r="E16" s="159"/>
      <c r="F16" s="160"/>
      <c r="G16" s="160"/>
      <c r="H16" s="158"/>
      <c r="I16" s="199"/>
      <c r="J16" s="194"/>
      <c r="ID16" s="121"/>
    </row>
    <row r="17" spans="2:238" ht="18.75" thickBot="1">
      <c r="B17" s="161" t="s">
        <v>922</v>
      </c>
      <c r="C17" s="154" t="s">
        <v>923</v>
      </c>
      <c r="D17" s="155"/>
      <c r="E17" s="159"/>
      <c r="F17" s="160"/>
      <c r="G17" s="160"/>
      <c r="H17" s="162"/>
      <c r="I17" s="199"/>
      <c r="J17" s="194"/>
      <c r="ID17" s="121"/>
    </row>
    <row r="18" spans="2:238" ht="18.75" thickBot="1">
      <c r="B18" s="1136" t="s">
        <v>924</v>
      </c>
      <c r="C18" s="1137"/>
      <c r="D18" s="1137"/>
      <c r="E18" s="1137"/>
      <c r="F18" s="1137"/>
      <c r="G18" s="1137"/>
      <c r="H18" s="1138"/>
      <c r="I18" s="199"/>
      <c r="J18" s="194"/>
      <c r="ID18" s="121"/>
    </row>
    <row r="19" spans="2:238" ht="18">
      <c r="B19" s="1139" t="s">
        <v>1353</v>
      </c>
      <c r="C19" s="1139"/>
      <c r="D19" s="1139"/>
      <c r="E19" s="1139"/>
      <c r="F19" s="1139"/>
      <c r="G19" s="1139"/>
      <c r="H19" s="1139"/>
      <c r="I19" s="199"/>
      <c r="J19" s="194"/>
      <c r="ID19" s="121"/>
    </row>
    <row r="20" spans="2:238" ht="18">
      <c r="B20" s="1134" t="s">
        <v>925</v>
      </c>
      <c r="C20" s="1134"/>
      <c r="D20" s="1134"/>
      <c r="E20" s="1134"/>
      <c r="F20" s="1134"/>
      <c r="G20" s="1134"/>
      <c r="H20" s="1134"/>
      <c r="I20" s="199"/>
      <c r="J20" s="194"/>
      <c r="ID20" s="121"/>
    </row>
    <row r="21" spans="2:238" ht="18">
      <c r="B21" s="1134" t="s">
        <v>926</v>
      </c>
      <c r="C21" s="1134"/>
      <c r="D21" s="1134"/>
      <c r="E21" s="1134"/>
      <c r="F21" s="1134"/>
      <c r="G21" s="1134"/>
      <c r="H21" s="1134"/>
      <c r="I21" s="199"/>
      <c r="J21" s="194"/>
      <c r="ID21" s="121"/>
    </row>
    <row r="22" spans="2:238" ht="18">
      <c r="B22" s="1154" t="s">
        <v>927</v>
      </c>
      <c r="C22" s="1154"/>
      <c r="D22" s="1154"/>
      <c r="E22" s="1154"/>
      <c r="F22" s="1154"/>
      <c r="G22" s="1154"/>
      <c r="H22" s="1154"/>
      <c r="I22" s="199"/>
      <c r="J22" s="194"/>
      <c r="ID22" s="121"/>
    </row>
    <row r="23" spans="2:238" ht="21" customHeight="1">
      <c r="B23" s="1155" t="s">
        <v>928</v>
      </c>
      <c r="C23" s="1155"/>
      <c r="D23" s="1155"/>
      <c r="E23" s="1155"/>
      <c r="F23" s="1155"/>
      <c r="G23" s="127" t="s">
        <v>929</v>
      </c>
      <c r="H23" s="163">
        <f>ROUND((H4+H8+H11+H12)/(1-E14),2)</f>
        <v>0</v>
      </c>
      <c r="I23" s="196"/>
      <c r="J23" s="175"/>
      <c r="ID23" s="121"/>
    </row>
    <row r="24" spans="2:238" s="487" customFormat="1" ht="36" customHeight="1">
      <c r="B24" s="1218" t="s">
        <v>930</v>
      </c>
      <c r="C24" s="1218"/>
      <c r="D24" s="1218"/>
      <c r="E24" s="1218"/>
      <c r="F24" s="1218"/>
      <c r="G24" s="1218"/>
      <c r="H24" s="483" t="s">
        <v>1355</v>
      </c>
      <c r="I24" s="484"/>
      <c r="J24" s="485"/>
      <c r="K24" s="484"/>
      <c r="L24" s="484"/>
      <c r="M24" s="486"/>
      <c r="N24" s="486"/>
      <c r="O24" s="486"/>
      <c r="P24" s="486"/>
      <c r="Q24" s="486"/>
      <c r="R24" s="486"/>
      <c r="S24" s="486"/>
      <c r="T24" s="486"/>
      <c r="U24" s="486"/>
      <c r="V24" s="486"/>
      <c r="W24" s="486"/>
      <c r="X24" s="486"/>
      <c r="Y24" s="486"/>
      <c r="Z24" s="486"/>
      <c r="AA24" s="486"/>
      <c r="AB24" s="486"/>
      <c r="AC24" s="486"/>
      <c r="AD24" s="486"/>
      <c r="AE24" s="486"/>
      <c r="AF24" s="486"/>
      <c r="AG24" s="486"/>
      <c r="AH24" s="486"/>
      <c r="AI24" s="486"/>
      <c r="AJ24" s="486"/>
      <c r="AK24" s="486"/>
      <c r="AL24" s="486"/>
      <c r="AM24" s="486"/>
      <c r="AN24" s="486"/>
      <c r="AO24" s="486"/>
      <c r="AP24" s="486"/>
      <c r="AQ24" s="486"/>
      <c r="AR24" s="486"/>
      <c r="AS24" s="486"/>
      <c r="AT24" s="486"/>
      <c r="AU24" s="486"/>
      <c r="AV24" s="486"/>
      <c r="AW24" s="486"/>
      <c r="AX24" s="486"/>
      <c r="AY24" s="486"/>
      <c r="AZ24" s="486"/>
      <c r="BA24" s="486"/>
      <c r="BB24" s="486"/>
      <c r="BC24" s="486"/>
      <c r="BD24" s="486"/>
      <c r="BE24" s="486"/>
      <c r="BF24" s="486"/>
      <c r="BG24" s="486"/>
      <c r="BH24" s="486"/>
      <c r="BI24" s="486"/>
      <c r="BJ24" s="486"/>
      <c r="BK24" s="486"/>
      <c r="BL24" s="486"/>
      <c r="BM24" s="486"/>
      <c r="BN24" s="486"/>
      <c r="BO24" s="486"/>
      <c r="BP24" s="486"/>
      <c r="BQ24" s="486"/>
      <c r="BR24" s="486"/>
      <c r="BS24" s="486"/>
      <c r="BT24" s="486"/>
      <c r="BU24" s="486"/>
      <c r="BV24" s="486"/>
      <c r="BW24" s="486"/>
      <c r="BX24" s="486"/>
      <c r="BY24" s="486"/>
      <c r="BZ24" s="486"/>
      <c r="CA24" s="486"/>
      <c r="CB24" s="486"/>
      <c r="CC24" s="486"/>
      <c r="CD24" s="486"/>
      <c r="CE24" s="486"/>
      <c r="CF24" s="486"/>
      <c r="CG24" s="486"/>
      <c r="CH24" s="486"/>
      <c r="CI24" s="486"/>
      <c r="CJ24" s="486"/>
      <c r="CK24" s="486"/>
      <c r="CL24" s="486"/>
      <c r="CM24" s="486"/>
      <c r="CN24" s="486"/>
      <c r="CO24" s="486"/>
      <c r="CP24" s="486"/>
      <c r="CQ24" s="486"/>
      <c r="CR24" s="486"/>
      <c r="CS24" s="486"/>
      <c r="CT24" s="486"/>
      <c r="CU24" s="486"/>
      <c r="CV24" s="486"/>
      <c r="CW24" s="486"/>
      <c r="CX24" s="486"/>
      <c r="CY24" s="486"/>
      <c r="CZ24" s="486"/>
      <c r="DA24" s="486"/>
      <c r="DB24" s="486"/>
      <c r="DC24" s="486"/>
      <c r="DD24" s="486"/>
      <c r="DE24" s="486"/>
      <c r="DF24" s="486"/>
      <c r="DG24" s="486"/>
      <c r="DH24" s="486"/>
      <c r="DI24" s="486"/>
      <c r="DJ24" s="486"/>
      <c r="DK24" s="486"/>
      <c r="DL24" s="486"/>
      <c r="DM24" s="486"/>
      <c r="DN24" s="486"/>
      <c r="DO24" s="486"/>
      <c r="DP24" s="486"/>
      <c r="DQ24" s="486"/>
      <c r="DR24" s="486"/>
      <c r="DS24" s="486"/>
      <c r="DT24" s="486"/>
      <c r="DU24" s="486"/>
      <c r="DV24" s="486"/>
      <c r="DW24" s="486"/>
      <c r="DX24" s="486"/>
      <c r="DY24" s="486"/>
      <c r="DZ24" s="486"/>
      <c r="EA24" s="486"/>
      <c r="EB24" s="486"/>
      <c r="EC24" s="486"/>
      <c r="ED24" s="486"/>
      <c r="EE24" s="486"/>
      <c r="EF24" s="486"/>
      <c r="EG24" s="486"/>
      <c r="EH24" s="486"/>
      <c r="EI24" s="486"/>
      <c r="EJ24" s="486"/>
      <c r="EK24" s="486"/>
      <c r="EL24" s="486"/>
      <c r="EM24" s="486"/>
      <c r="EN24" s="486"/>
      <c r="EO24" s="486"/>
      <c r="EP24" s="486"/>
      <c r="EQ24" s="486"/>
      <c r="ER24" s="486"/>
      <c r="ES24" s="486"/>
      <c r="ET24" s="486"/>
      <c r="EU24" s="486"/>
      <c r="EV24" s="486"/>
      <c r="EW24" s="486"/>
      <c r="EX24" s="486"/>
      <c r="EY24" s="486"/>
      <c r="EZ24" s="486"/>
      <c r="FA24" s="486"/>
      <c r="FB24" s="486"/>
      <c r="FC24" s="486"/>
      <c r="FD24" s="486"/>
      <c r="FE24" s="486"/>
      <c r="FF24" s="486"/>
      <c r="FG24" s="486"/>
      <c r="FH24" s="486"/>
      <c r="FI24" s="486"/>
      <c r="FJ24" s="486"/>
      <c r="FK24" s="486"/>
      <c r="FL24" s="486"/>
      <c r="FM24" s="486"/>
      <c r="FN24" s="486"/>
      <c r="FO24" s="486"/>
      <c r="FP24" s="486"/>
      <c r="FQ24" s="486"/>
      <c r="FR24" s="486"/>
      <c r="FS24" s="486"/>
      <c r="FT24" s="486"/>
      <c r="FU24" s="486"/>
      <c r="FV24" s="486"/>
      <c r="FW24" s="486"/>
      <c r="FX24" s="486"/>
      <c r="FY24" s="486"/>
      <c r="FZ24" s="486"/>
      <c r="GA24" s="486"/>
      <c r="GB24" s="486"/>
      <c r="GC24" s="486"/>
      <c r="GD24" s="486"/>
      <c r="GE24" s="486"/>
      <c r="GF24" s="486"/>
      <c r="GG24" s="486"/>
      <c r="GH24" s="486"/>
      <c r="GI24" s="486"/>
      <c r="GJ24" s="486"/>
      <c r="GK24" s="486"/>
      <c r="GL24" s="486"/>
      <c r="GM24" s="486"/>
      <c r="GN24" s="486"/>
      <c r="GO24" s="486"/>
      <c r="GP24" s="486"/>
      <c r="GQ24" s="486"/>
      <c r="GR24" s="486"/>
      <c r="GS24" s="486"/>
      <c r="GT24" s="486"/>
      <c r="GU24" s="486"/>
      <c r="GV24" s="486"/>
      <c r="GW24" s="486"/>
      <c r="GX24" s="486"/>
      <c r="GY24" s="486"/>
      <c r="GZ24" s="486"/>
      <c r="HA24" s="486"/>
      <c r="HB24" s="486"/>
      <c r="HC24" s="486"/>
      <c r="HD24" s="486"/>
      <c r="HE24" s="486"/>
      <c r="HF24" s="486"/>
      <c r="HG24" s="486"/>
      <c r="HH24" s="486"/>
      <c r="HI24" s="486"/>
      <c r="HJ24" s="486"/>
      <c r="HK24" s="486"/>
      <c r="HL24" s="486"/>
      <c r="HM24" s="486"/>
      <c r="HN24" s="486"/>
      <c r="HO24" s="486"/>
      <c r="HP24" s="486"/>
      <c r="HQ24" s="486"/>
      <c r="HR24" s="486"/>
      <c r="HS24" s="486"/>
      <c r="HT24" s="486"/>
      <c r="HU24" s="486"/>
      <c r="HV24" s="486"/>
      <c r="HW24" s="486"/>
      <c r="HX24" s="486"/>
      <c r="HY24" s="486"/>
      <c r="HZ24" s="486"/>
      <c r="IA24" s="486"/>
      <c r="IB24" s="486"/>
      <c r="IC24" s="486"/>
      <c r="ID24" s="486"/>
    </row>
    <row r="26" spans="2:238" ht="18">
      <c r="G26" s="164" t="s">
        <v>931</v>
      </c>
      <c r="H26" s="165"/>
      <c r="J26" s="200" t="e">
        <f>H26*(H4+#REF!+H8+#REF!)</f>
        <v>#REF!</v>
      </c>
      <c r="K26" s="201">
        <f>H14+H13</f>
        <v>0</v>
      </c>
    </row>
  </sheetData>
  <mergeCells count="14">
    <mergeCell ref="C8:G8"/>
    <mergeCell ref="B2:H2"/>
    <mergeCell ref="K2:M2"/>
    <mergeCell ref="N2:N3"/>
    <mergeCell ref="K3:K4"/>
    <mergeCell ref="C4:G4"/>
    <mergeCell ref="B23:F23"/>
    <mergeCell ref="B24:G24"/>
    <mergeCell ref="B13:G13"/>
    <mergeCell ref="B18:H18"/>
    <mergeCell ref="B19:H19"/>
    <mergeCell ref="B20:H20"/>
    <mergeCell ref="B21:H21"/>
    <mergeCell ref="B22:H22"/>
  </mergeCells>
  <printOptions horizontalCentered="1" verticalCentered="1"/>
  <pageMargins left="0.59055118110236204" right="0.39370078740157499" top="0.39370078740157499" bottom="0.59055118110236204" header="0.511811023622047" footer="0.511811023622047"/>
  <pageSetup paperSize="9" scale="32" firstPageNumber="0" orientation="landscape" useFirstPageNumber="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41"/>
  <sheetViews>
    <sheetView showGridLines="0" zoomScale="80" zoomScaleNormal="80" workbookViewId="0">
      <selection activeCell="H30" sqref="H30"/>
    </sheetView>
  </sheetViews>
  <sheetFormatPr defaultColWidth="9.140625" defaultRowHeight="18"/>
  <cols>
    <col min="1" max="1" width="9.140625" style="72"/>
    <col min="2" max="2" width="48.42578125" style="72" customWidth="1"/>
    <col min="3" max="3" width="35.28515625" style="72" customWidth="1"/>
    <col min="4" max="4" width="28.5703125" style="72" customWidth="1"/>
    <col min="5" max="5" width="32" style="73" customWidth="1"/>
    <col min="6" max="6" width="9.140625" style="70"/>
    <col min="7" max="7" width="14.85546875" style="74" customWidth="1"/>
    <col min="8" max="8" width="29.7109375" style="71" customWidth="1"/>
    <col min="9" max="9" width="22.140625" style="70" customWidth="1"/>
    <col min="10" max="10" width="21.85546875" style="70" customWidth="1"/>
    <col min="11" max="11" width="9.28515625" style="70" customWidth="1"/>
    <col min="12" max="12" width="35.28515625" style="70" customWidth="1"/>
    <col min="13" max="13" width="24.5703125" style="71" customWidth="1"/>
    <col min="14" max="17" width="9.140625" style="70"/>
    <col min="18" max="16384" width="9.140625" style="72"/>
  </cols>
  <sheetData>
    <row r="2" spans="2:13">
      <c r="B2" s="75"/>
      <c r="C2" s="75"/>
      <c r="D2" s="75"/>
      <c r="J2" s="107"/>
    </row>
    <row r="3" spans="2:13" ht="18" customHeight="1">
      <c r="B3" s="1241" t="s">
        <v>985</v>
      </c>
      <c r="C3" s="1241"/>
      <c r="D3" s="1241"/>
      <c r="E3" s="76"/>
      <c r="F3" s="1242" t="s">
        <v>986</v>
      </c>
      <c r="G3" s="1243"/>
      <c r="H3" s="1244"/>
      <c r="I3" s="108" t="s">
        <v>921</v>
      </c>
      <c r="K3" s="1219" t="s">
        <v>986</v>
      </c>
      <c r="L3" s="1220"/>
      <c r="M3" s="1220"/>
    </row>
    <row r="4" spans="2:13" s="70" customFormat="1">
      <c r="B4" s="1241"/>
      <c r="C4" s="1241"/>
      <c r="D4" s="1241"/>
      <c r="E4" s="76"/>
      <c r="F4" s="1235" t="s">
        <v>11</v>
      </c>
      <c r="G4" s="1237" t="s">
        <v>906</v>
      </c>
      <c r="H4" s="77" t="s">
        <v>739</v>
      </c>
      <c r="I4" s="109" t="s">
        <v>741</v>
      </c>
      <c r="K4" s="1226" t="s">
        <v>11</v>
      </c>
      <c r="L4" s="1227" t="s">
        <v>906</v>
      </c>
      <c r="M4" s="81" t="s">
        <v>739</v>
      </c>
    </row>
    <row r="5" spans="2:13" s="70" customFormat="1" ht="83.25" customHeight="1">
      <c r="B5" s="1221" t="s">
        <v>987</v>
      </c>
      <c r="C5" s="1221"/>
      <c r="D5" s="78" t="s">
        <v>988</v>
      </c>
      <c r="E5" s="79" t="s">
        <v>1019</v>
      </c>
      <c r="F5" s="1236"/>
      <c r="G5" s="1238"/>
      <c r="H5" s="80" t="s">
        <v>989</v>
      </c>
      <c r="I5" s="110" t="s">
        <v>990</v>
      </c>
      <c r="J5" s="79" t="s">
        <v>1020</v>
      </c>
      <c r="K5" s="1226"/>
      <c r="L5" s="1227"/>
      <c r="M5" s="111" t="s">
        <v>989</v>
      </c>
    </row>
    <row r="6" spans="2:13" s="70" customFormat="1" ht="33" customHeight="1">
      <c r="B6" s="1239" t="s">
        <v>1000</v>
      </c>
      <c r="C6" s="1239"/>
      <c r="D6" s="81" t="s">
        <v>1001</v>
      </c>
      <c r="E6" s="71">
        <f>(36012.39/(1.65/100))+4158.26/(0.65/100)</f>
        <v>2822301.3986014002</v>
      </c>
      <c r="F6" s="82">
        <v>1</v>
      </c>
      <c r="G6" s="83">
        <v>42736</v>
      </c>
      <c r="H6" s="84">
        <f>E6</f>
        <v>2822301.3986014002</v>
      </c>
      <c r="I6" s="112">
        <f>1.65/100*H6</f>
        <v>46567.973076923103</v>
      </c>
      <c r="J6" s="71">
        <f>165875.25/(7.6/100)+19191.97/(3/100)</f>
        <v>2822301.4122807002</v>
      </c>
      <c r="K6" s="82">
        <v>1</v>
      </c>
      <c r="L6" s="83">
        <f t="shared" ref="L6:L17" si="0">G6</f>
        <v>42736</v>
      </c>
      <c r="M6" s="84">
        <f>J6</f>
        <v>2822301.4122807002</v>
      </c>
    </row>
    <row r="7" spans="2:13" s="70" customFormat="1" ht="33" customHeight="1">
      <c r="B7" s="1239"/>
      <c r="C7" s="1239"/>
      <c r="D7" s="81" t="s">
        <v>1002</v>
      </c>
      <c r="E7" s="71">
        <f>(39259.3/(1.65/100))+5191.99/(0.65/100)</f>
        <v>3178119.20745921</v>
      </c>
      <c r="F7" s="82">
        <f t="shared" ref="F7:F17" si="1">1+F6</f>
        <v>2</v>
      </c>
      <c r="G7" s="83">
        <v>42767</v>
      </c>
      <c r="H7" s="84">
        <f t="shared" ref="H7:H17" si="2">E7</f>
        <v>3178119.20745921</v>
      </c>
      <c r="I7" s="112">
        <f t="shared" ref="I7:I17" si="3">1.65/100*H7</f>
        <v>52438.9669230769</v>
      </c>
      <c r="J7" s="71">
        <f>180830.7/(7.6/100)+23963.05/(3/100)</f>
        <v>3178119.64912281</v>
      </c>
      <c r="K7" s="82">
        <f t="shared" ref="K7:K17" si="4">K6+1</f>
        <v>2</v>
      </c>
      <c r="L7" s="83">
        <f t="shared" si="0"/>
        <v>42767</v>
      </c>
      <c r="M7" s="84">
        <f>J7</f>
        <v>3178119.64912281</v>
      </c>
    </row>
    <row r="8" spans="2:13" s="70" customFormat="1" ht="33" customHeight="1">
      <c r="B8" s="1239"/>
      <c r="C8" s="1239"/>
      <c r="D8" s="81" t="s">
        <v>1003</v>
      </c>
      <c r="E8" s="71">
        <f>39178.1/(1.65/100)+3951.17/(0.65/100)</f>
        <v>2982302.6107226098</v>
      </c>
      <c r="F8" s="82">
        <f t="shared" si="1"/>
        <v>3</v>
      </c>
      <c r="G8" s="83">
        <v>42795</v>
      </c>
      <c r="H8" s="84">
        <f t="shared" si="2"/>
        <v>2982302.6107226098</v>
      </c>
      <c r="I8" s="112">
        <f t="shared" si="3"/>
        <v>49207.9930769231</v>
      </c>
      <c r="J8" s="71">
        <f>180456.71/(7.6/100)+18236.18/(3/100)</f>
        <v>2982303.0614035102</v>
      </c>
      <c r="K8" s="82">
        <f t="shared" si="4"/>
        <v>3</v>
      </c>
      <c r="L8" s="83">
        <f t="shared" si="0"/>
        <v>42795</v>
      </c>
      <c r="M8" s="84">
        <f t="shared" ref="M8:M17" si="5">J8</f>
        <v>2982303.0614035102</v>
      </c>
    </row>
    <row r="9" spans="2:13" s="70" customFormat="1" ht="33" customHeight="1">
      <c r="B9" s="1239"/>
      <c r="C9" s="1239"/>
      <c r="D9" s="81" t="s">
        <v>1004</v>
      </c>
      <c r="E9" s="71">
        <f>27999.02/(1.65/100)+4495.92/(0.65/100)</f>
        <v>2388590.3030303</v>
      </c>
      <c r="F9" s="82">
        <f t="shared" si="1"/>
        <v>4</v>
      </c>
      <c r="G9" s="83">
        <v>42826</v>
      </c>
      <c r="H9" s="84">
        <f t="shared" si="2"/>
        <v>2388590.3030303</v>
      </c>
      <c r="I9" s="112">
        <f t="shared" si="3"/>
        <v>39411.74</v>
      </c>
      <c r="J9" s="71">
        <f>128965.19/(7.6/100)+20750.42/(3/100)</f>
        <v>2388591.0614035102</v>
      </c>
      <c r="K9" s="82">
        <f t="shared" si="4"/>
        <v>4</v>
      </c>
      <c r="L9" s="83">
        <f t="shared" si="0"/>
        <v>42826</v>
      </c>
      <c r="M9" s="84">
        <f t="shared" si="5"/>
        <v>2388591.0614035102</v>
      </c>
    </row>
    <row r="10" spans="2:13" s="70" customFormat="1" ht="33" customHeight="1">
      <c r="B10" s="1240" t="s">
        <v>1005</v>
      </c>
      <c r="C10" s="1240"/>
      <c r="D10" s="81" t="s">
        <v>1006</v>
      </c>
      <c r="E10" s="71">
        <f>35273.08/(1.65/100)+4129.65/(0.65/100)</f>
        <v>2773093.1934731901</v>
      </c>
      <c r="F10" s="82">
        <f t="shared" si="1"/>
        <v>5</v>
      </c>
      <c r="G10" s="83">
        <v>42856</v>
      </c>
      <c r="H10" s="84">
        <f t="shared" si="2"/>
        <v>2773093.1934731901</v>
      </c>
      <c r="I10" s="112">
        <f t="shared" si="3"/>
        <v>45756.037692307698</v>
      </c>
      <c r="J10" s="71">
        <f>162469.95/(7.6/100)+19059.92/(3/100)</f>
        <v>2773093.1666666698</v>
      </c>
      <c r="K10" s="82">
        <f t="shared" si="4"/>
        <v>5</v>
      </c>
      <c r="L10" s="83">
        <f t="shared" si="0"/>
        <v>42856</v>
      </c>
      <c r="M10" s="84">
        <f t="shared" si="5"/>
        <v>2773093.1666666698</v>
      </c>
    </row>
    <row r="11" spans="2:13" s="70" customFormat="1" ht="33" customHeight="1">
      <c r="B11" s="1240"/>
      <c r="C11" s="1240"/>
      <c r="D11" s="81" t="s">
        <v>1007</v>
      </c>
      <c r="E11" s="71">
        <f>32558.52/(1.65/100)+3291.92/(0.65/100)</f>
        <v>2479692.86713287</v>
      </c>
      <c r="F11" s="82">
        <f t="shared" si="1"/>
        <v>6</v>
      </c>
      <c r="G11" s="83">
        <v>42887</v>
      </c>
      <c r="H11" s="84">
        <f t="shared" si="2"/>
        <v>2479692.86713287</v>
      </c>
      <c r="I11" s="112">
        <f t="shared" si="3"/>
        <v>40914.932307692303</v>
      </c>
      <c r="J11" s="71">
        <f>149966.52/(7.6/100)+15193.49/(3/100)</f>
        <v>2479693.35087719</v>
      </c>
      <c r="K11" s="82">
        <f t="shared" si="4"/>
        <v>6</v>
      </c>
      <c r="L11" s="83">
        <f t="shared" si="0"/>
        <v>42887</v>
      </c>
      <c r="M11" s="84">
        <f t="shared" si="5"/>
        <v>2479693.35087719</v>
      </c>
    </row>
    <row r="12" spans="2:13" s="70" customFormat="1" ht="33" customHeight="1">
      <c r="B12" s="1240"/>
      <c r="C12" s="1240"/>
      <c r="D12" s="81" t="s">
        <v>1008</v>
      </c>
      <c r="E12" s="71">
        <f>33911.81/(1.65/100)+6803.49/(0.65/100)</f>
        <v>3101951.98135198</v>
      </c>
      <c r="F12" s="82">
        <f t="shared" si="1"/>
        <v>7</v>
      </c>
      <c r="G12" s="83">
        <v>42917</v>
      </c>
      <c r="H12" s="84">
        <f t="shared" si="2"/>
        <v>3101951.98135198</v>
      </c>
      <c r="I12" s="112">
        <f t="shared" si="3"/>
        <v>51182.207692307697</v>
      </c>
      <c r="J12" s="71">
        <f>156199.84/(7.6/100)+31400.72/(3/100)</f>
        <v>3101951.71929825</v>
      </c>
      <c r="K12" s="82">
        <f t="shared" si="4"/>
        <v>7</v>
      </c>
      <c r="L12" s="83">
        <f t="shared" si="0"/>
        <v>42917</v>
      </c>
      <c r="M12" s="84">
        <f t="shared" si="5"/>
        <v>3101951.71929825</v>
      </c>
    </row>
    <row r="13" spans="2:13" s="70" customFormat="1" ht="33" customHeight="1">
      <c r="B13" s="1240"/>
      <c r="C13" s="1240"/>
      <c r="D13" s="81" t="s">
        <v>1009</v>
      </c>
      <c r="E13" s="71">
        <f>28650.15/(1.65/100)+4751.41/(0.65/100)</f>
        <v>2467358.8811188801</v>
      </c>
      <c r="F13" s="82">
        <f t="shared" si="1"/>
        <v>8</v>
      </c>
      <c r="G13" s="83">
        <v>42948</v>
      </c>
      <c r="H13" s="84">
        <f t="shared" si="2"/>
        <v>2467358.8811188801</v>
      </c>
      <c r="I13" s="112">
        <f t="shared" si="3"/>
        <v>40711.421538461502</v>
      </c>
      <c r="J13" s="71">
        <f>131964.35/(7.6/100)+21929.57/(3/100)</f>
        <v>2467358.6929824599</v>
      </c>
      <c r="K13" s="82">
        <f t="shared" si="4"/>
        <v>8</v>
      </c>
      <c r="L13" s="83">
        <f t="shared" si="0"/>
        <v>42948</v>
      </c>
      <c r="M13" s="84">
        <f t="shared" si="5"/>
        <v>2467358.6929824599</v>
      </c>
    </row>
    <row r="14" spans="2:13" s="70" customFormat="1" ht="33" customHeight="1">
      <c r="D14" s="85"/>
      <c r="E14" s="71">
        <f>(33026.56/(1.65/100))+4391.01/(0.65/100)</f>
        <v>2677149.6969697</v>
      </c>
      <c r="F14" s="82">
        <f t="shared" si="1"/>
        <v>9</v>
      </c>
      <c r="G14" s="83">
        <v>42979</v>
      </c>
      <c r="H14" s="84">
        <f t="shared" si="2"/>
        <v>2677149.6969697</v>
      </c>
      <c r="I14" s="112">
        <f t="shared" si="3"/>
        <v>44172.97</v>
      </c>
      <c r="J14" s="71">
        <f>152122.32/(7.6/100)+20275.43/(3/100)</f>
        <v>2677457.1403508801</v>
      </c>
      <c r="K14" s="82">
        <f t="shared" si="4"/>
        <v>9</v>
      </c>
      <c r="L14" s="83">
        <f t="shared" si="0"/>
        <v>42979</v>
      </c>
      <c r="M14" s="84">
        <f t="shared" si="5"/>
        <v>2677457.1403508801</v>
      </c>
    </row>
    <row r="15" spans="2:13" s="70" customFormat="1" ht="33" customHeight="1">
      <c r="D15" s="71"/>
      <c r="E15" s="71">
        <f>38439.91/(1.65/100)+3504.61/(0.65/100)</f>
        <v>2868862.28438228</v>
      </c>
      <c r="F15" s="82">
        <f t="shared" si="1"/>
        <v>10</v>
      </c>
      <c r="G15" s="83">
        <v>43009</v>
      </c>
      <c r="H15" s="84">
        <f t="shared" si="2"/>
        <v>2868862.28438228</v>
      </c>
      <c r="I15" s="112">
        <f t="shared" si="3"/>
        <v>47336.227692307701</v>
      </c>
      <c r="J15" s="71">
        <f>177056.54/(7.6/100)+16175.13/(3/100)</f>
        <v>2868862.31578947</v>
      </c>
      <c r="K15" s="82">
        <f t="shared" si="4"/>
        <v>10</v>
      </c>
      <c r="L15" s="83">
        <f t="shared" si="0"/>
        <v>43009</v>
      </c>
      <c r="M15" s="84">
        <f t="shared" si="5"/>
        <v>2868862.31578947</v>
      </c>
    </row>
    <row r="16" spans="2:13" s="70" customFormat="1" ht="33" customHeight="1">
      <c r="D16" s="71"/>
      <c r="E16" s="71">
        <f>(34333.29/(1.65/100))+4487.6/(0.65/100)</f>
        <v>2771205.4545454499</v>
      </c>
      <c r="F16" s="82">
        <f t="shared" si="1"/>
        <v>11</v>
      </c>
      <c r="G16" s="86">
        <v>43040</v>
      </c>
      <c r="H16" s="84">
        <f t="shared" si="2"/>
        <v>2771205.4545454499</v>
      </c>
      <c r="I16" s="112">
        <f t="shared" si="3"/>
        <v>45724.89</v>
      </c>
      <c r="J16" s="71">
        <f>158141.22/(7.6/100)+20712.01/(3/100)</f>
        <v>2771205.8596491199</v>
      </c>
      <c r="K16" s="82">
        <f t="shared" si="4"/>
        <v>11</v>
      </c>
      <c r="L16" s="83">
        <f t="shared" si="0"/>
        <v>43040</v>
      </c>
      <c r="M16" s="84">
        <f t="shared" si="5"/>
        <v>2771205.8596491199</v>
      </c>
    </row>
    <row r="17" spans="1:30" s="70" customFormat="1" ht="33" customHeight="1">
      <c r="D17" s="71"/>
      <c r="E17" s="71">
        <f>(46022.55/(1.65/100))+5553.56/(0.65/100)</f>
        <v>3643639.3006993001</v>
      </c>
      <c r="F17" s="87">
        <f t="shared" si="1"/>
        <v>12</v>
      </c>
      <c r="G17" s="88">
        <v>43070</v>
      </c>
      <c r="H17" s="84">
        <f t="shared" si="2"/>
        <v>3643639.3006993001</v>
      </c>
      <c r="I17" s="112">
        <f t="shared" si="3"/>
        <v>60120.048461538499</v>
      </c>
      <c r="J17" s="71">
        <f>211982.66/(7.6/100)+25631.8/(3/100)</f>
        <v>3643638.8596491199</v>
      </c>
      <c r="K17" s="113">
        <f t="shared" si="4"/>
        <v>12</v>
      </c>
      <c r="L17" s="83">
        <f t="shared" si="0"/>
        <v>43070</v>
      </c>
      <c r="M17" s="84">
        <f t="shared" si="5"/>
        <v>3643638.8596491199</v>
      </c>
    </row>
    <row r="18" spans="1:30" s="70" customFormat="1" ht="33" customHeight="1">
      <c r="D18" s="89"/>
      <c r="E18" s="71"/>
      <c r="F18" s="1222" t="s">
        <v>1010</v>
      </c>
      <c r="G18" s="1223"/>
      <c r="H18" s="90">
        <f>SUM(H6:H17)</f>
        <v>34154267.179487199</v>
      </c>
      <c r="I18" s="114"/>
      <c r="K18" s="1224" t="s">
        <v>1010</v>
      </c>
      <c r="L18" s="1225"/>
      <c r="M18" s="115">
        <f>SUM(M6:M17)</f>
        <v>34154576.289473698</v>
      </c>
    </row>
    <row r="19" spans="1:30" s="70" customFormat="1" ht="36" customHeight="1">
      <c r="A19" s="72"/>
      <c r="B19" s="72"/>
      <c r="C19" s="72"/>
      <c r="D19" s="72"/>
      <c r="E19" s="73"/>
      <c r="G19" s="74"/>
      <c r="H19" s="71"/>
      <c r="M19" s="71"/>
      <c r="R19" s="72"/>
      <c r="S19" s="72"/>
      <c r="T19" s="72"/>
      <c r="U19" s="72"/>
      <c r="V19" s="72"/>
      <c r="W19" s="72"/>
      <c r="X19" s="72"/>
      <c r="Y19" s="72"/>
      <c r="Z19" s="72"/>
      <c r="AA19" s="72"/>
      <c r="AB19" s="72"/>
      <c r="AC19" s="72"/>
      <c r="AD19" s="72"/>
    </row>
    <row r="20" spans="1:30" s="70" customFormat="1">
      <c r="E20" s="91" t="s">
        <v>1021</v>
      </c>
      <c r="F20" s="92" t="s">
        <v>1022</v>
      </c>
      <c r="G20" s="93" t="s">
        <v>1023</v>
      </c>
      <c r="H20" s="91" t="s">
        <v>1024</v>
      </c>
      <c r="I20" s="116" t="s">
        <v>1025</v>
      </c>
      <c r="M20" s="71"/>
    </row>
    <row r="23" spans="1:30">
      <c r="K23" s="1228" t="s">
        <v>1019</v>
      </c>
      <c r="L23" s="1228"/>
      <c r="M23" s="117">
        <f>H18</f>
        <v>34154267.179487199</v>
      </c>
    </row>
    <row r="24" spans="1:30">
      <c r="K24" s="1228" t="s">
        <v>1026</v>
      </c>
      <c r="L24" s="1228"/>
      <c r="M24" s="117">
        <f>M18</f>
        <v>34154576.289473698</v>
      </c>
    </row>
    <row r="25" spans="1:30">
      <c r="K25" s="1229" t="s">
        <v>1027</v>
      </c>
      <c r="L25" s="1229"/>
      <c r="M25" s="118">
        <f>LARGE(M23:M24,1)</f>
        <v>34154576.289473698</v>
      </c>
    </row>
    <row r="26" spans="1:30" s="70" customFormat="1">
      <c r="A26" s="72"/>
      <c r="B26" s="72"/>
      <c r="C26" s="72"/>
      <c r="D26" s="72"/>
      <c r="E26" s="73"/>
      <c r="K26" s="1228" t="s">
        <v>1028</v>
      </c>
      <c r="L26" s="1228"/>
      <c r="M26" s="117">
        <v>34154576.020000003</v>
      </c>
      <c r="R26" s="72"/>
      <c r="S26" s="72"/>
      <c r="T26" s="72"/>
      <c r="U26" s="72"/>
      <c r="V26" s="72"/>
      <c r="W26" s="72"/>
      <c r="X26" s="72"/>
      <c r="Y26" s="72"/>
      <c r="Z26" s="72"/>
      <c r="AA26" s="72"/>
      <c r="AB26" s="72"/>
      <c r="AC26" s="72"/>
      <c r="AD26" s="72"/>
    </row>
    <row r="27" spans="1:30" s="70" customFormat="1">
      <c r="A27" s="72"/>
      <c r="B27" s="72"/>
      <c r="C27" s="72"/>
      <c r="D27" s="72"/>
      <c r="E27" s="73"/>
      <c r="K27" s="1228" t="s">
        <v>1029</v>
      </c>
      <c r="L27" s="1228"/>
      <c r="M27" s="117">
        <f>M26*0.85</f>
        <v>29031389.616999999</v>
      </c>
      <c r="R27" s="72"/>
      <c r="S27" s="72"/>
      <c r="T27" s="72"/>
      <c r="U27" s="72"/>
      <c r="V27" s="72"/>
      <c r="W27" s="72"/>
      <c r="X27" s="72"/>
      <c r="Y27" s="72"/>
      <c r="Z27" s="72"/>
      <c r="AA27" s="72"/>
      <c r="AB27" s="72"/>
      <c r="AC27" s="72"/>
      <c r="AD27" s="72"/>
    </row>
    <row r="28" spans="1:30" s="70" customFormat="1">
      <c r="A28" s="72"/>
      <c r="B28" s="72"/>
      <c r="C28" s="72"/>
      <c r="D28" s="72"/>
      <c r="E28" s="73"/>
      <c r="K28" s="1228" t="s">
        <v>1030</v>
      </c>
      <c r="L28" s="1228"/>
      <c r="M28" s="117">
        <f>M26*1.15</f>
        <v>39277762.423</v>
      </c>
      <c r="R28" s="72"/>
      <c r="S28" s="72"/>
      <c r="T28" s="72"/>
      <c r="U28" s="72"/>
      <c r="V28" s="72"/>
      <c r="W28" s="72"/>
      <c r="X28" s="72"/>
      <c r="Y28" s="72"/>
      <c r="Z28" s="72"/>
      <c r="AA28" s="72"/>
      <c r="AB28" s="72"/>
      <c r="AC28" s="72"/>
      <c r="AD28" s="72"/>
    </row>
    <row r="29" spans="1:30" s="71" customFormat="1">
      <c r="A29" s="72"/>
      <c r="B29" s="72"/>
      <c r="C29" s="72"/>
      <c r="D29" s="72"/>
      <c r="E29" s="73"/>
      <c r="F29" s="70"/>
      <c r="J29" s="70"/>
      <c r="K29" s="70"/>
      <c r="L29" s="70"/>
      <c r="N29" s="70"/>
      <c r="O29" s="70"/>
      <c r="P29" s="70"/>
      <c r="Q29" s="70"/>
      <c r="R29" s="72"/>
      <c r="S29" s="72"/>
      <c r="T29" s="72"/>
      <c r="U29" s="72"/>
      <c r="V29" s="72"/>
      <c r="W29" s="72"/>
      <c r="X29" s="72"/>
      <c r="Y29" s="72"/>
      <c r="Z29" s="72"/>
      <c r="AA29" s="72"/>
      <c r="AB29" s="72"/>
      <c r="AC29" s="72"/>
      <c r="AD29" s="72"/>
    </row>
    <row r="30" spans="1:30" s="71" customFormat="1">
      <c r="A30" s="72"/>
      <c r="B30" s="72"/>
      <c r="C30" s="72"/>
      <c r="D30" s="72"/>
      <c r="E30" s="73"/>
      <c r="F30" s="70"/>
      <c r="J30" s="70"/>
      <c r="K30" s="70"/>
      <c r="L30" s="70"/>
      <c r="N30" s="70"/>
      <c r="O30" s="70"/>
      <c r="P30" s="70"/>
      <c r="Q30" s="70"/>
      <c r="R30" s="72"/>
      <c r="S30" s="72"/>
      <c r="T30" s="72"/>
      <c r="U30" s="72"/>
      <c r="V30" s="72"/>
      <c r="W30" s="72"/>
      <c r="X30" s="72"/>
      <c r="Y30" s="72"/>
      <c r="Z30" s="72"/>
      <c r="AA30" s="72"/>
      <c r="AB30" s="72"/>
      <c r="AC30" s="72"/>
      <c r="AD30" s="72"/>
    </row>
    <row r="31" spans="1:30" s="71" customFormat="1">
      <c r="A31" s="72"/>
      <c r="B31" s="72"/>
      <c r="C31" s="72"/>
      <c r="D31" s="72"/>
      <c r="E31" s="73"/>
      <c r="F31" s="70"/>
      <c r="J31" s="70"/>
      <c r="K31" s="70"/>
      <c r="L31" s="70"/>
      <c r="N31" s="70"/>
      <c r="O31" s="70"/>
      <c r="P31" s="70"/>
      <c r="Q31" s="70"/>
      <c r="R31" s="72"/>
      <c r="S31" s="72"/>
      <c r="T31" s="72"/>
      <c r="U31" s="72"/>
      <c r="V31" s="72"/>
      <c r="W31" s="72"/>
      <c r="X31" s="72"/>
      <c r="Y31" s="72"/>
      <c r="Z31" s="72"/>
      <c r="AA31" s="72"/>
      <c r="AB31" s="72"/>
      <c r="AC31" s="72"/>
      <c r="AD31" s="72"/>
    </row>
    <row r="32" spans="1:30" s="71" customFormat="1" ht="24.75" customHeight="1">
      <c r="A32" s="72"/>
      <c r="B32" s="1230" t="s">
        <v>1031</v>
      </c>
      <c r="C32" s="1231"/>
      <c r="D32" s="1232"/>
      <c r="E32" s="73"/>
      <c r="F32" s="70"/>
      <c r="G32" s="74"/>
      <c r="I32" s="119"/>
      <c r="J32" s="70"/>
      <c r="K32" s="70"/>
      <c r="L32" s="70"/>
      <c r="N32" s="70"/>
      <c r="O32" s="70"/>
      <c r="P32" s="70"/>
      <c r="Q32" s="70"/>
      <c r="R32" s="72"/>
      <c r="S32" s="72"/>
      <c r="T32" s="72"/>
      <c r="U32" s="72"/>
      <c r="V32" s="72"/>
      <c r="W32" s="72"/>
      <c r="X32" s="72"/>
      <c r="Y32" s="72"/>
      <c r="Z32" s="72"/>
      <c r="AA32" s="72"/>
      <c r="AB32" s="72"/>
      <c r="AC32" s="72"/>
      <c r="AD32" s="72"/>
    </row>
    <row r="33" spans="1:30" s="71" customFormat="1" ht="20.25">
      <c r="A33" s="72"/>
      <c r="B33" s="94" t="s">
        <v>1032</v>
      </c>
      <c r="C33" s="95" t="s">
        <v>1033</v>
      </c>
      <c r="D33" s="96" t="str">
        <f>IF(D37&gt;=D34,"ok","desclassificar")</f>
        <v>ok</v>
      </c>
      <c r="E33" s="97"/>
      <c r="F33" s="70"/>
      <c r="G33" s="74"/>
      <c r="I33" s="119"/>
      <c r="J33" s="70"/>
      <c r="K33" s="70"/>
      <c r="L33" s="70"/>
      <c r="N33" s="70"/>
      <c r="O33" s="70"/>
      <c r="P33" s="70"/>
      <c r="Q33" s="70"/>
      <c r="R33" s="72"/>
      <c r="S33" s="72"/>
      <c r="T33" s="72"/>
      <c r="U33" s="72"/>
      <c r="V33" s="72"/>
      <c r="W33" s="72"/>
      <c r="X33" s="72"/>
      <c r="Y33" s="72"/>
      <c r="Z33" s="72"/>
      <c r="AA33" s="72"/>
      <c r="AB33" s="72"/>
      <c r="AC33" s="72"/>
      <c r="AD33" s="72"/>
    </row>
    <row r="34" spans="1:30" s="71" customFormat="1" ht="20.25">
      <c r="A34" s="72"/>
      <c r="B34" s="98" t="s">
        <v>1034</v>
      </c>
      <c r="C34" s="99">
        <v>105055.44</v>
      </c>
      <c r="D34" s="100">
        <f>10/100*C34</f>
        <v>10505.544</v>
      </c>
      <c r="E34" s="97"/>
      <c r="F34" s="70"/>
      <c r="G34" s="74"/>
      <c r="I34" s="119"/>
      <c r="J34" s="70"/>
      <c r="K34" s="70"/>
      <c r="L34" s="70"/>
      <c r="N34" s="70"/>
      <c r="O34" s="70"/>
      <c r="P34" s="70"/>
      <c r="Q34" s="70"/>
      <c r="R34" s="72"/>
      <c r="S34" s="72"/>
      <c r="T34" s="72"/>
      <c r="U34" s="72"/>
      <c r="V34" s="72"/>
      <c r="W34" s="72"/>
      <c r="X34" s="72"/>
      <c r="Y34" s="72"/>
      <c r="Z34" s="72"/>
      <c r="AA34" s="72"/>
      <c r="AB34" s="72"/>
      <c r="AC34" s="72"/>
      <c r="AD34" s="72"/>
    </row>
    <row r="35" spans="1:30" s="71" customFormat="1" ht="23.25">
      <c r="A35" s="72"/>
      <c r="B35" s="1233" t="s">
        <v>1035</v>
      </c>
      <c r="C35" s="1233"/>
      <c r="D35" s="1233"/>
      <c r="E35" s="97"/>
      <c r="F35" s="70"/>
      <c r="G35" s="74"/>
      <c r="I35" s="70"/>
      <c r="J35" s="70"/>
      <c r="K35" s="70"/>
      <c r="L35" s="70"/>
      <c r="N35" s="70"/>
      <c r="O35" s="70"/>
      <c r="P35" s="70"/>
      <c r="Q35" s="70"/>
      <c r="R35" s="72"/>
      <c r="S35" s="72"/>
      <c r="T35" s="72"/>
      <c r="U35" s="72"/>
      <c r="V35" s="72"/>
      <c r="W35" s="72"/>
      <c r="X35" s="72"/>
      <c r="Y35" s="72"/>
      <c r="Z35" s="72"/>
      <c r="AA35" s="72"/>
      <c r="AB35" s="72"/>
      <c r="AC35" s="72"/>
      <c r="AD35" s="72"/>
    </row>
    <row r="36" spans="1:30" s="71" customFormat="1" ht="23.25">
      <c r="A36" s="72"/>
      <c r="B36" s="1234" t="s">
        <v>1036</v>
      </c>
      <c r="C36" s="1234"/>
      <c r="D36" s="101">
        <v>2034703.64</v>
      </c>
      <c r="E36" s="97"/>
      <c r="F36" s="70"/>
      <c r="G36" s="74"/>
      <c r="I36" s="70"/>
      <c r="J36" s="70"/>
      <c r="K36" s="70"/>
      <c r="L36" s="70"/>
      <c r="N36" s="70"/>
      <c r="O36" s="70"/>
      <c r="P36" s="70"/>
      <c r="Q36" s="70"/>
      <c r="R36" s="72"/>
      <c r="S36" s="72"/>
      <c r="T36" s="72"/>
      <c r="U36" s="72"/>
      <c r="V36" s="72"/>
      <c r="W36" s="72"/>
      <c r="X36" s="72"/>
      <c r="Y36" s="72"/>
      <c r="Z36" s="72"/>
      <c r="AA36" s="72"/>
      <c r="AB36" s="72"/>
      <c r="AC36" s="72"/>
      <c r="AD36" s="72"/>
    </row>
    <row r="37" spans="1:30" s="71" customFormat="1" ht="23.25">
      <c r="A37" s="72"/>
      <c r="B37" s="1234" t="s">
        <v>1037</v>
      </c>
      <c r="C37" s="1234"/>
      <c r="D37" s="101">
        <v>3618299.99</v>
      </c>
      <c r="E37" s="97"/>
      <c r="F37" s="70"/>
      <c r="G37" s="74"/>
      <c r="I37" s="70"/>
      <c r="J37" s="70"/>
      <c r="K37" s="70"/>
      <c r="L37" s="70"/>
      <c r="N37" s="70"/>
      <c r="O37" s="70"/>
      <c r="P37" s="70"/>
      <c r="Q37" s="70"/>
      <c r="R37" s="72"/>
      <c r="S37" s="72"/>
      <c r="T37" s="72"/>
      <c r="U37" s="72"/>
      <c r="V37" s="72"/>
      <c r="W37" s="72"/>
      <c r="X37" s="72"/>
      <c r="Y37" s="72"/>
      <c r="Z37" s="72"/>
      <c r="AA37" s="72"/>
      <c r="AB37" s="72"/>
      <c r="AC37" s="72"/>
      <c r="AD37" s="72"/>
    </row>
    <row r="38" spans="1:30" s="71" customFormat="1" ht="23.25">
      <c r="A38" s="72"/>
      <c r="B38" s="1234" t="s">
        <v>1038</v>
      </c>
      <c r="C38" s="1234"/>
      <c r="D38" s="101">
        <v>34154576.020000003</v>
      </c>
      <c r="E38" s="102" t="s">
        <v>1039</v>
      </c>
      <c r="F38" s="70"/>
      <c r="G38" s="74"/>
      <c r="I38" s="70"/>
      <c r="J38" s="70"/>
      <c r="K38" s="70"/>
      <c r="L38" s="70"/>
      <c r="N38" s="70"/>
      <c r="O38" s="70"/>
      <c r="P38" s="70"/>
      <c r="Q38" s="70"/>
      <c r="R38" s="72"/>
      <c r="S38" s="72"/>
      <c r="T38" s="72"/>
      <c r="U38" s="72"/>
      <c r="V38" s="72"/>
      <c r="W38" s="72"/>
      <c r="X38" s="72"/>
      <c r="Y38" s="72"/>
      <c r="Z38" s="72"/>
      <c r="AA38" s="72"/>
      <c r="AB38" s="72"/>
      <c r="AC38" s="72"/>
      <c r="AD38" s="72"/>
    </row>
    <row r="39" spans="1:30" s="71" customFormat="1" ht="23.25">
      <c r="A39" s="72"/>
      <c r="B39" s="1234" t="s">
        <v>1040</v>
      </c>
      <c r="C39" s="1234"/>
      <c r="D39" s="103">
        <f>D37/D36</f>
        <v>1.7782933685615301</v>
      </c>
      <c r="E39" s="104" t="str">
        <f>IF(D39&gt;=1,"ok","desclassificar")</f>
        <v>ok</v>
      </c>
      <c r="F39" s="70"/>
      <c r="G39" s="74"/>
      <c r="I39" s="70"/>
      <c r="J39" s="70"/>
      <c r="K39" s="70"/>
      <c r="L39" s="70"/>
      <c r="N39" s="70"/>
      <c r="O39" s="70"/>
      <c r="P39" s="70"/>
      <c r="Q39" s="70"/>
      <c r="R39" s="72"/>
      <c r="S39" s="72"/>
      <c r="T39" s="72"/>
      <c r="U39" s="72"/>
      <c r="V39" s="72"/>
      <c r="W39" s="72"/>
      <c r="X39" s="72"/>
      <c r="Y39" s="72"/>
      <c r="Z39" s="72"/>
      <c r="AA39" s="72"/>
      <c r="AB39" s="72"/>
      <c r="AC39" s="72"/>
      <c r="AD39" s="72"/>
    </row>
    <row r="40" spans="1:30" s="71" customFormat="1" ht="23.25">
      <c r="A40" s="72"/>
      <c r="B40" s="1234" t="s">
        <v>1041</v>
      </c>
      <c r="C40" s="1234"/>
      <c r="D40" s="105">
        <f>(D38/12-D36)/(D38/12)</f>
        <v>0.28511940345263298</v>
      </c>
      <c r="E40" s="106" t="str">
        <f>IF(ABS(D40)&lt;=10%,"ok","justificar")</f>
        <v>justificar</v>
      </c>
      <c r="F40" s="70"/>
      <c r="G40" s="74"/>
      <c r="I40" s="70"/>
      <c r="J40" s="70"/>
      <c r="K40" s="70"/>
      <c r="L40" s="70"/>
      <c r="N40" s="70"/>
      <c r="O40" s="70"/>
      <c r="P40" s="70"/>
      <c r="Q40" s="70"/>
      <c r="R40" s="72"/>
      <c r="S40" s="72"/>
      <c r="T40" s="72"/>
      <c r="U40" s="72"/>
      <c r="V40" s="72"/>
      <c r="W40" s="72"/>
      <c r="X40" s="72"/>
      <c r="Y40" s="72"/>
      <c r="Z40" s="72"/>
      <c r="AA40" s="72"/>
      <c r="AB40" s="72"/>
      <c r="AC40" s="72"/>
      <c r="AD40" s="72"/>
    </row>
    <row r="41" spans="1:30" s="71" customFormat="1">
      <c r="A41" s="72"/>
      <c r="B41" s="72"/>
      <c r="C41" s="72"/>
      <c r="D41" s="72"/>
      <c r="E41" s="73"/>
      <c r="F41" s="70"/>
      <c r="G41" s="74"/>
      <c r="I41" s="70"/>
      <c r="J41" s="70"/>
      <c r="K41" s="70"/>
      <c r="L41" s="70"/>
      <c r="N41" s="70"/>
      <c r="O41" s="70"/>
      <c r="P41" s="70"/>
      <c r="Q41" s="70"/>
      <c r="R41" s="72"/>
      <c r="S41" s="72"/>
      <c r="T41" s="72"/>
      <c r="U41" s="72"/>
      <c r="V41" s="72"/>
      <c r="W41" s="72"/>
      <c r="X41" s="72"/>
      <c r="Y41" s="72"/>
      <c r="Z41" s="72"/>
      <c r="AA41" s="72"/>
      <c r="AB41" s="72"/>
      <c r="AC41" s="72"/>
      <c r="AD41" s="72"/>
    </row>
  </sheetData>
  <mergeCells count="25">
    <mergeCell ref="B38:C38"/>
    <mergeCell ref="B39:C39"/>
    <mergeCell ref="B40:C40"/>
    <mergeCell ref="F4:F5"/>
    <mergeCell ref="G4:G5"/>
    <mergeCell ref="B6:C9"/>
    <mergeCell ref="B10:C13"/>
    <mergeCell ref="B3:D4"/>
    <mergeCell ref="F3:H3"/>
    <mergeCell ref="K28:L28"/>
    <mergeCell ref="B32:D32"/>
    <mergeCell ref="B35:D35"/>
    <mergeCell ref="B36:C36"/>
    <mergeCell ref="B37:C37"/>
    <mergeCell ref="K23:L23"/>
    <mergeCell ref="K24:L24"/>
    <mergeCell ref="K25:L25"/>
    <mergeCell ref="K26:L26"/>
    <mergeCell ref="K27:L27"/>
    <mergeCell ref="K3:M3"/>
    <mergeCell ref="B5:C5"/>
    <mergeCell ref="F18:G18"/>
    <mergeCell ref="K18:L18"/>
    <mergeCell ref="K4:K5"/>
    <mergeCell ref="L4:L5"/>
  </mergeCells>
  <conditionalFormatting sqref="D33">
    <cfRule type="expression" dxfId="11" priority="1">
      <formula>$D$37&lt;$D$34</formula>
    </cfRule>
    <cfRule type="expression" dxfId="10" priority="2">
      <formula>$D$37&gt;=$D$34</formula>
    </cfRule>
  </conditionalFormatting>
  <conditionalFormatting sqref="E39">
    <cfRule type="expression" dxfId="9" priority="5">
      <formula>$D$39&lt;1</formula>
    </cfRule>
    <cfRule type="expression" dxfId="8" priority="6">
      <formula>$D$39&gt;=1</formula>
    </cfRule>
  </conditionalFormatting>
  <conditionalFormatting sqref="E40">
    <cfRule type="expression" dxfId="7" priority="3">
      <formula>ABS($D$40)&gt;10%</formula>
    </cfRule>
    <cfRule type="expression" dxfId="6" priority="4">
      <formula>ABS($D$40)&lt;=10%</formula>
    </cfRule>
  </conditionalFormatting>
  <printOptions horizontalCentered="1" verticalCentered="1"/>
  <pageMargins left="0.511811023622047" right="0.511811023622047" top="0.78740157480314998" bottom="0.78740157480314998" header="0.31496062992126" footer="0.31496062992126"/>
  <pageSetup paperSize="9" scale="31"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44"/>
  <sheetViews>
    <sheetView showGridLines="0" zoomScale="80" zoomScaleNormal="80" workbookViewId="0">
      <selection activeCell="G41" sqref="G41"/>
    </sheetView>
  </sheetViews>
  <sheetFormatPr defaultColWidth="9.140625" defaultRowHeight="18"/>
  <cols>
    <col min="1" max="1" width="9.140625" style="2"/>
    <col min="2" max="2" width="48.42578125" style="2" customWidth="1"/>
    <col min="3" max="3" width="35.28515625" style="2" customWidth="1"/>
    <col min="4" max="4" width="28.5703125" style="2" customWidth="1"/>
    <col min="5" max="5" width="32" style="3" customWidth="1"/>
    <col min="6" max="6" width="9.140625" style="1"/>
    <col min="7" max="7" width="14.85546875" style="4" customWidth="1"/>
    <col min="8" max="8" width="25.5703125" style="5" customWidth="1"/>
    <col min="9" max="9" width="22.140625" style="1" customWidth="1"/>
    <col min="10" max="10" width="23.85546875" style="5" customWidth="1"/>
    <col min="11" max="11" width="23.28515625" style="5" customWidth="1"/>
    <col min="12" max="12" width="18" style="1" customWidth="1"/>
    <col min="13" max="13" width="21" style="1" customWidth="1"/>
    <col min="14" max="14" width="21.28515625" style="1" customWidth="1"/>
    <col min="15" max="15" width="13.5703125" style="6" customWidth="1"/>
    <col min="16" max="16" width="21.85546875" style="1" customWidth="1"/>
    <col min="17" max="17" width="9.28515625" style="1" customWidth="1"/>
    <col min="18" max="18" width="14.85546875" style="1" customWidth="1"/>
    <col min="19" max="19" width="24.5703125" style="5" customWidth="1"/>
    <col min="20" max="20" width="26.5703125" style="1" customWidth="1"/>
    <col min="21" max="22" width="23.7109375" style="5" customWidth="1"/>
    <col min="23" max="24" width="21.85546875" style="5" customWidth="1"/>
    <col min="25" max="25" width="25.7109375" style="5" customWidth="1"/>
    <col min="26" max="26" width="15.42578125" style="1" customWidth="1"/>
    <col min="27" max="30" width="9.140625" style="1"/>
    <col min="31" max="16384" width="9.140625" style="2"/>
  </cols>
  <sheetData>
    <row r="2" spans="2:26">
      <c r="B2" s="7"/>
      <c r="C2" s="7"/>
      <c r="D2" s="7"/>
      <c r="P2" s="17"/>
    </row>
    <row r="3" spans="2:26" ht="18" customHeight="1">
      <c r="B3" s="1197" t="s">
        <v>985</v>
      </c>
      <c r="C3" s="1197"/>
      <c r="D3" s="1197"/>
      <c r="E3" s="8"/>
      <c r="F3" s="1185" t="s">
        <v>986</v>
      </c>
      <c r="G3" s="1186"/>
      <c r="H3" s="1187"/>
      <c r="I3" s="42" t="s">
        <v>921</v>
      </c>
      <c r="Q3" s="1188" t="s">
        <v>986</v>
      </c>
      <c r="R3" s="1189"/>
      <c r="S3" s="1189"/>
      <c r="T3" s="64" t="s">
        <v>923</v>
      </c>
    </row>
    <row r="4" spans="2:26" s="1" customFormat="1">
      <c r="B4" s="1197"/>
      <c r="C4" s="1197"/>
      <c r="D4" s="1197"/>
      <c r="E4" s="8"/>
      <c r="F4" s="1203" t="s">
        <v>11</v>
      </c>
      <c r="G4" s="1205" t="s">
        <v>906</v>
      </c>
      <c r="H4" s="9" t="s">
        <v>739</v>
      </c>
      <c r="I4" s="43" t="s">
        <v>741</v>
      </c>
      <c r="J4" s="44" t="s">
        <v>743</v>
      </c>
      <c r="K4" s="16" t="s">
        <v>745</v>
      </c>
      <c r="L4" s="13" t="s">
        <v>747</v>
      </c>
      <c r="M4" s="13" t="s">
        <v>749</v>
      </c>
      <c r="N4" s="45" t="s">
        <v>751</v>
      </c>
      <c r="O4" s="46" t="s">
        <v>755</v>
      </c>
      <c r="Q4" s="1207" t="s">
        <v>11</v>
      </c>
      <c r="R4" s="1208" t="s">
        <v>906</v>
      </c>
      <c r="S4" s="13" t="s">
        <v>739</v>
      </c>
      <c r="T4" s="43" t="s">
        <v>741</v>
      </c>
      <c r="U4" s="44" t="s">
        <v>743</v>
      </c>
      <c r="V4" s="16" t="s">
        <v>745</v>
      </c>
      <c r="W4" s="13" t="s">
        <v>747</v>
      </c>
      <c r="X4" s="13" t="s">
        <v>749</v>
      </c>
      <c r="Y4" s="45" t="s">
        <v>751</v>
      </c>
      <c r="Z4" s="46" t="s">
        <v>755</v>
      </c>
    </row>
    <row r="5" spans="2:26" s="1" customFormat="1" ht="83.25" customHeight="1">
      <c r="B5" s="1190" t="s">
        <v>987</v>
      </c>
      <c r="C5" s="1190"/>
      <c r="D5" s="10" t="s">
        <v>988</v>
      </c>
      <c r="E5" s="11" t="s">
        <v>1019</v>
      </c>
      <c r="F5" s="1204"/>
      <c r="G5" s="1206"/>
      <c r="H5" s="12" t="s">
        <v>989</v>
      </c>
      <c r="I5" s="47" t="s">
        <v>990</v>
      </c>
      <c r="J5" s="48" t="s">
        <v>991</v>
      </c>
      <c r="K5" s="49" t="s">
        <v>1042</v>
      </c>
      <c r="L5" s="49" t="s">
        <v>993</v>
      </c>
      <c r="M5" s="50" t="s">
        <v>994</v>
      </c>
      <c r="N5" s="50" t="s">
        <v>995</v>
      </c>
      <c r="O5" s="51" t="s">
        <v>996</v>
      </c>
      <c r="P5" s="11" t="s">
        <v>1020</v>
      </c>
      <c r="Q5" s="1207"/>
      <c r="R5" s="1208"/>
      <c r="S5" s="65" t="s">
        <v>989</v>
      </c>
      <c r="T5" s="47" t="s">
        <v>997</v>
      </c>
      <c r="U5" s="48" t="s">
        <v>991</v>
      </c>
      <c r="V5" s="49" t="s">
        <v>1043</v>
      </c>
      <c r="W5" s="49" t="s">
        <v>993</v>
      </c>
      <c r="X5" s="50" t="s">
        <v>994</v>
      </c>
      <c r="Y5" s="50" t="s">
        <v>998</v>
      </c>
      <c r="Z5" s="51" t="s">
        <v>999</v>
      </c>
    </row>
    <row r="6" spans="2:26" s="1" customFormat="1" ht="33" customHeight="1">
      <c r="B6" s="1198" t="s">
        <v>1000</v>
      </c>
      <c r="C6" s="1198"/>
      <c r="D6" s="13" t="s">
        <v>1001</v>
      </c>
      <c r="E6" s="5">
        <f>((760428.18)/(1.65/100))</f>
        <v>46086556.363636397</v>
      </c>
      <c r="F6" s="14">
        <v>1</v>
      </c>
      <c r="G6" s="15">
        <v>42736</v>
      </c>
      <c r="H6" s="16">
        <f>E6</f>
        <v>46086556.363636397</v>
      </c>
      <c r="I6" s="52">
        <f>1.65/100*H6</f>
        <v>760428.18</v>
      </c>
      <c r="J6" s="53">
        <v>111950.47</v>
      </c>
      <c r="K6" s="54">
        <v>240917.06</v>
      </c>
      <c r="L6" s="25">
        <f>I6-J6-K6</f>
        <v>407560.65</v>
      </c>
      <c r="M6" s="55">
        <v>0</v>
      </c>
      <c r="N6" s="16">
        <f>I6-J6-M6</f>
        <v>648477.71</v>
      </c>
      <c r="O6" s="56">
        <f>IFERROR(N6/H6," ")</f>
        <v>1.4070864936909599E-2</v>
      </c>
      <c r="P6" s="5">
        <f>3505499.66/(7.6/100)</f>
        <v>46124995.526315801</v>
      </c>
      <c r="Q6" s="14">
        <v>1</v>
      </c>
      <c r="R6" s="15">
        <f>G6</f>
        <v>42736</v>
      </c>
      <c r="S6" s="16">
        <f>P6</f>
        <v>46124995.526315801</v>
      </c>
      <c r="T6" s="52">
        <f>7.6/100*S6</f>
        <v>3505499.66</v>
      </c>
      <c r="U6" s="53">
        <v>515645.49</v>
      </c>
      <c r="V6" s="54">
        <v>1111688.78</v>
      </c>
      <c r="W6" s="25">
        <f t="shared" ref="W6:W17" si="0">T6-U6-V6</f>
        <v>1878165.39</v>
      </c>
      <c r="X6" s="55">
        <v>0</v>
      </c>
      <c r="Y6" s="16">
        <f>T6-U6-X6</f>
        <v>2989854.17</v>
      </c>
      <c r="Z6" s="56">
        <f>IFERROR(Y6/S6," ")</f>
        <v>6.4820692899453899E-2</v>
      </c>
    </row>
    <row r="7" spans="2:26" s="1" customFormat="1" ht="33" customHeight="1">
      <c r="B7" s="1198"/>
      <c r="C7" s="1198"/>
      <c r="D7" s="13" t="s">
        <v>1002</v>
      </c>
      <c r="E7" s="5">
        <f>799564.14/(1.65/100)</f>
        <v>48458432.727272697</v>
      </c>
      <c r="F7" s="14">
        <f t="shared" ref="F7:F17" si="1">1+F6</f>
        <v>2</v>
      </c>
      <c r="G7" s="15">
        <v>42767</v>
      </c>
      <c r="H7" s="16">
        <f t="shared" ref="H7:H17" si="2">E7</f>
        <v>48458432.727272697</v>
      </c>
      <c r="I7" s="52">
        <f t="shared" ref="I7:I17" si="3">1.65/100*H7</f>
        <v>799564.14</v>
      </c>
      <c r="J7" s="53">
        <v>142415.47</v>
      </c>
      <c r="K7" s="54">
        <v>190177.41</v>
      </c>
      <c r="L7" s="25">
        <f>I7-J7-K7</f>
        <v>466971.26</v>
      </c>
      <c r="M7" s="55">
        <v>0</v>
      </c>
      <c r="N7" s="16">
        <f>I7-J7-M7</f>
        <v>657148.67000000004</v>
      </c>
      <c r="O7" s="56">
        <f>IFERROR(N7/H7," ")</f>
        <v>1.35610797340161E-2</v>
      </c>
      <c r="P7" s="5">
        <f>3684539.27/(7.6/100)</f>
        <v>48480779.8684211</v>
      </c>
      <c r="Q7" s="14">
        <f t="shared" ref="Q7:Q17" si="4">Q6+1</f>
        <v>2</v>
      </c>
      <c r="R7" s="15">
        <f t="shared" ref="R7:R17" si="5">G7</f>
        <v>42767</v>
      </c>
      <c r="S7" s="16">
        <f>P7</f>
        <v>48480779.8684211</v>
      </c>
      <c r="T7" s="52">
        <f t="shared" ref="T7:T17" si="6">7.6/100*S7</f>
        <v>3684539.27</v>
      </c>
      <c r="U7" s="53">
        <v>655965.89</v>
      </c>
      <c r="V7" s="54">
        <v>877797.19</v>
      </c>
      <c r="W7" s="25">
        <f t="shared" si="0"/>
        <v>2150776.19</v>
      </c>
      <c r="X7" s="55">
        <v>0</v>
      </c>
      <c r="Y7" s="16">
        <f>T7-U7-X7</f>
        <v>3028573.38</v>
      </c>
      <c r="Z7" s="56">
        <f>IFERROR(Y7/S7," ")</f>
        <v>6.2469568109664898E-2</v>
      </c>
    </row>
    <row r="8" spans="2:26" s="1" customFormat="1" ht="33" customHeight="1">
      <c r="B8" s="1198"/>
      <c r="C8" s="1198"/>
      <c r="D8" s="13" t="s">
        <v>1003</v>
      </c>
      <c r="E8" s="5">
        <f>989249.6/(1.65/100)</f>
        <v>59954521.212121204</v>
      </c>
      <c r="F8" s="14">
        <f t="shared" si="1"/>
        <v>3</v>
      </c>
      <c r="G8" s="15">
        <v>42795</v>
      </c>
      <c r="H8" s="16">
        <f t="shared" si="2"/>
        <v>59954521.212121204</v>
      </c>
      <c r="I8" s="52">
        <f t="shared" si="3"/>
        <v>989249.6</v>
      </c>
      <c r="J8" s="53">
        <v>213753.13</v>
      </c>
      <c r="K8" s="54">
        <v>250915.59</v>
      </c>
      <c r="L8" s="25">
        <f t="shared" ref="L8:L17" si="7">I8-J8-K8</f>
        <v>524580.88</v>
      </c>
      <c r="M8" s="55">
        <v>0</v>
      </c>
      <c r="N8" s="16">
        <f t="shared" ref="N8:N17" si="8">I8-J8-M8</f>
        <v>775496.47</v>
      </c>
      <c r="O8" s="56">
        <f t="shared" ref="O8:O17" si="9">IFERROR(N8/H8," ")</f>
        <v>1.2934745442404E-2</v>
      </c>
      <c r="P8" s="5">
        <f>4559760.78/(7.6/100)</f>
        <v>59996852.3684211</v>
      </c>
      <c r="Q8" s="14">
        <f t="shared" si="4"/>
        <v>3</v>
      </c>
      <c r="R8" s="15">
        <f t="shared" si="5"/>
        <v>42795</v>
      </c>
      <c r="S8" s="16">
        <f t="shared" ref="S8:S17" si="10">P8</f>
        <v>59996852.3684211</v>
      </c>
      <c r="T8" s="52">
        <f t="shared" si="6"/>
        <v>4559760.78</v>
      </c>
      <c r="U8" s="53">
        <v>984553.16</v>
      </c>
      <c r="V8" s="54">
        <v>1128191.17</v>
      </c>
      <c r="W8" s="25">
        <f t="shared" si="0"/>
        <v>2447016.4500000002</v>
      </c>
      <c r="X8" s="55">
        <v>0</v>
      </c>
      <c r="Y8" s="16">
        <f t="shared" ref="Y8:Y17" si="11">T8-U8-X8</f>
        <v>3575207.62</v>
      </c>
      <c r="Z8" s="56">
        <f t="shared" ref="Z8:Z17" si="12">IFERROR(Y8/S8," ")</f>
        <v>5.9589919785221698E-2</v>
      </c>
    </row>
    <row r="9" spans="2:26" s="1" customFormat="1" ht="33" customHeight="1">
      <c r="B9" s="1198"/>
      <c r="C9" s="1198"/>
      <c r="D9" s="13" t="s">
        <v>1004</v>
      </c>
      <c r="E9" s="17">
        <f>643812.86/(1.65/100)</f>
        <v>39018961.212121204</v>
      </c>
      <c r="F9" s="14">
        <f t="shared" si="1"/>
        <v>4</v>
      </c>
      <c r="G9" s="15">
        <v>42826</v>
      </c>
      <c r="H9" s="16">
        <f t="shared" si="2"/>
        <v>39018961.212121204</v>
      </c>
      <c r="I9" s="52">
        <f t="shared" si="3"/>
        <v>643812.86</v>
      </c>
      <c r="J9" s="53">
        <v>133443.76999999999</v>
      </c>
      <c r="K9" s="54">
        <v>185119.77</v>
      </c>
      <c r="L9" s="25">
        <f t="shared" si="7"/>
        <v>325249.32</v>
      </c>
      <c r="M9" s="55">
        <v>0</v>
      </c>
      <c r="N9" s="16">
        <f t="shared" si="8"/>
        <v>510369.09</v>
      </c>
      <c r="O9" s="56">
        <f t="shared" si="9"/>
        <v>1.3080027610818499E-2</v>
      </c>
      <c r="P9" s="17">
        <f>2966484.87/(7.6/100)</f>
        <v>39032695.657894701</v>
      </c>
      <c r="Q9" s="14">
        <f t="shared" si="4"/>
        <v>4</v>
      </c>
      <c r="R9" s="15">
        <f t="shared" si="5"/>
        <v>42826</v>
      </c>
      <c r="S9" s="16">
        <f t="shared" si="10"/>
        <v>39032695.657894701</v>
      </c>
      <c r="T9" s="52">
        <f t="shared" si="6"/>
        <v>2966484.87</v>
      </c>
      <c r="U9" s="53">
        <v>614641.67000000004</v>
      </c>
      <c r="V9" s="54">
        <v>711667</v>
      </c>
      <c r="W9" s="25">
        <f t="shared" si="0"/>
        <v>1640176.2</v>
      </c>
      <c r="X9" s="55">
        <v>0</v>
      </c>
      <c r="Y9" s="16">
        <f t="shared" si="11"/>
        <v>2351843.2000000002</v>
      </c>
      <c r="Z9" s="56">
        <f t="shared" si="12"/>
        <v>6.0253158547206802E-2</v>
      </c>
    </row>
    <row r="10" spans="2:26" s="1" customFormat="1" ht="33" customHeight="1">
      <c r="B10" s="1199" t="s">
        <v>1005</v>
      </c>
      <c r="C10" s="1199"/>
      <c r="D10" s="13" t="s">
        <v>1006</v>
      </c>
      <c r="E10" s="5">
        <f>(1059889.75/(1.65/100))</f>
        <v>64235742.4242424</v>
      </c>
      <c r="F10" s="14">
        <f t="shared" si="1"/>
        <v>5</v>
      </c>
      <c r="G10" s="15">
        <v>42856</v>
      </c>
      <c r="H10" s="16">
        <f t="shared" si="2"/>
        <v>64235742.4242424</v>
      </c>
      <c r="I10" s="52">
        <f t="shared" si="3"/>
        <v>1059889.75</v>
      </c>
      <c r="J10" s="53">
        <v>189814.11</v>
      </c>
      <c r="K10" s="54">
        <v>278704.02</v>
      </c>
      <c r="L10" s="25">
        <f t="shared" si="7"/>
        <v>591371.62</v>
      </c>
      <c r="M10" s="55">
        <v>0</v>
      </c>
      <c r="N10" s="16">
        <f t="shared" si="8"/>
        <v>870075.64</v>
      </c>
      <c r="O10" s="56">
        <f t="shared" si="9"/>
        <v>1.35450390571283E-2</v>
      </c>
      <c r="P10" s="5">
        <f>4882447.53/(7.6/100)</f>
        <v>64242730.657894701</v>
      </c>
      <c r="Q10" s="14">
        <f t="shared" si="4"/>
        <v>5</v>
      </c>
      <c r="R10" s="15">
        <f t="shared" si="5"/>
        <v>42856</v>
      </c>
      <c r="S10" s="16">
        <f t="shared" si="10"/>
        <v>64242730.657894701</v>
      </c>
      <c r="T10" s="52">
        <f t="shared" si="6"/>
        <v>4882447.53</v>
      </c>
      <c r="U10" s="53">
        <v>874288.89</v>
      </c>
      <c r="V10" s="54">
        <v>1155238.94</v>
      </c>
      <c r="W10" s="25">
        <f t="shared" si="0"/>
        <v>2852919.7</v>
      </c>
      <c r="X10" s="55">
        <v>0</v>
      </c>
      <c r="Y10" s="16">
        <f t="shared" si="11"/>
        <v>4008158.64</v>
      </c>
      <c r="Z10" s="56">
        <f t="shared" si="12"/>
        <v>6.2390851057440799E-2</v>
      </c>
    </row>
    <row r="11" spans="2:26" s="1" customFormat="1" ht="33" customHeight="1">
      <c r="B11" s="1199"/>
      <c r="C11" s="1199"/>
      <c r="D11" s="13" t="s">
        <v>1007</v>
      </c>
      <c r="E11" s="5">
        <f>980805.33/(1.65/100)</f>
        <v>59442747.272727303</v>
      </c>
      <c r="F11" s="14">
        <f t="shared" si="1"/>
        <v>6</v>
      </c>
      <c r="G11" s="15">
        <v>42887</v>
      </c>
      <c r="H11" s="16">
        <f t="shared" si="2"/>
        <v>59442747.272727303</v>
      </c>
      <c r="I11" s="52">
        <f t="shared" si="3"/>
        <v>980805.33</v>
      </c>
      <c r="J11" s="53">
        <v>165806.93</v>
      </c>
      <c r="K11" s="54">
        <v>266064.67</v>
      </c>
      <c r="L11" s="25">
        <f t="shared" si="7"/>
        <v>548933.73</v>
      </c>
      <c r="M11" s="55">
        <v>0</v>
      </c>
      <c r="N11" s="16">
        <f t="shared" si="8"/>
        <v>814998.4</v>
      </c>
      <c r="O11" s="56">
        <f t="shared" si="9"/>
        <v>1.37106449044277E-2</v>
      </c>
      <c r="P11" s="5">
        <f>4517746.71/(7.6/100)</f>
        <v>59444035.657894701</v>
      </c>
      <c r="Q11" s="14">
        <f t="shared" si="4"/>
        <v>6</v>
      </c>
      <c r="R11" s="15">
        <f t="shared" si="5"/>
        <v>42887</v>
      </c>
      <c r="S11" s="16">
        <f t="shared" si="10"/>
        <v>59444035.657894701</v>
      </c>
      <c r="T11" s="52">
        <f t="shared" si="6"/>
        <v>4517746.71</v>
      </c>
      <c r="U11" s="53">
        <v>763708.52</v>
      </c>
      <c r="V11" s="54">
        <v>1227773.3500000001</v>
      </c>
      <c r="W11" s="25">
        <f t="shared" si="0"/>
        <v>2526264.84</v>
      </c>
      <c r="X11" s="55">
        <v>0</v>
      </c>
      <c r="Y11" s="16">
        <f t="shared" si="11"/>
        <v>3754038.19</v>
      </c>
      <c r="Z11" s="56">
        <f t="shared" si="12"/>
        <v>6.3152478603653306E-2</v>
      </c>
    </row>
    <row r="12" spans="2:26" s="1" customFormat="1" ht="33" customHeight="1">
      <c r="B12" s="1199"/>
      <c r="C12" s="1199"/>
      <c r="D12" s="13" t="s">
        <v>1008</v>
      </c>
      <c r="E12" s="5">
        <f>655570.17/(1.65/100)</f>
        <v>39731525.454545498</v>
      </c>
      <c r="F12" s="14">
        <f t="shared" si="1"/>
        <v>7</v>
      </c>
      <c r="G12" s="15">
        <v>42917</v>
      </c>
      <c r="H12" s="16">
        <f t="shared" si="2"/>
        <v>39731525.454545498</v>
      </c>
      <c r="I12" s="52">
        <f t="shared" si="3"/>
        <v>655570.17000000004</v>
      </c>
      <c r="J12" s="53">
        <v>171012.36</v>
      </c>
      <c r="K12" s="54">
        <v>234715.21</v>
      </c>
      <c r="L12" s="25">
        <f t="shared" si="7"/>
        <v>249842.6</v>
      </c>
      <c r="M12" s="55">
        <v>0</v>
      </c>
      <c r="N12" s="16">
        <f t="shared" si="8"/>
        <v>484557.81</v>
      </c>
      <c r="O12" s="56">
        <f t="shared" si="9"/>
        <v>1.2195801808676E-2</v>
      </c>
      <c r="P12" s="5">
        <f>4372918.76/(7.6/100)</f>
        <v>57538404.736842103</v>
      </c>
      <c r="Q12" s="14">
        <f t="shared" si="4"/>
        <v>7</v>
      </c>
      <c r="R12" s="15">
        <f t="shared" si="5"/>
        <v>42917</v>
      </c>
      <c r="S12" s="16">
        <f t="shared" si="10"/>
        <v>57538404.736842103</v>
      </c>
      <c r="T12" s="52">
        <f t="shared" si="6"/>
        <v>4372918.76</v>
      </c>
      <c r="U12" s="53">
        <v>787683.69</v>
      </c>
      <c r="V12" s="54">
        <v>1225278.18</v>
      </c>
      <c r="W12" s="25">
        <f t="shared" si="0"/>
        <v>2359956.89</v>
      </c>
      <c r="X12" s="55">
        <v>0</v>
      </c>
      <c r="Y12" s="16">
        <f t="shared" si="11"/>
        <v>3585235.07</v>
      </c>
      <c r="Z12" s="56">
        <f t="shared" si="12"/>
        <v>6.2310296686142901E-2</v>
      </c>
    </row>
    <row r="13" spans="2:26" s="1" customFormat="1" ht="33" customHeight="1">
      <c r="B13" s="1199"/>
      <c r="C13" s="1199"/>
      <c r="D13" s="13" t="s">
        <v>1009</v>
      </c>
      <c r="E13" s="5">
        <f>(1026600.61/(1.65/100))</f>
        <v>62218218.787878796</v>
      </c>
      <c r="F13" s="14">
        <f t="shared" si="1"/>
        <v>8</v>
      </c>
      <c r="G13" s="15">
        <v>42948</v>
      </c>
      <c r="H13" s="16">
        <f t="shared" si="2"/>
        <v>62218218.787878796</v>
      </c>
      <c r="I13" s="52">
        <f t="shared" si="3"/>
        <v>1026600.61</v>
      </c>
      <c r="J13" s="53">
        <v>188774.98</v>
      </c>
      <c r="K13" s="54">
        <v>242585.25</v>
      </c>
      <c r="L13" s="25">
        <f t="shared" si="7"/>
        <v>595240.38</v>
      </c>
      <c r="M13" s="55">
        <v>0</v>
      </c>
      <c r="N13" s="16">
        <f t="shared" si="8"/>
        <v>837825.63</v>
      </c>
      <c r="O13" s="56">
        <f t="shared" si="9"/>
        <v>1.3465921177467401E-2</v>
      </c>
      <c r="P13" s="5">
        <f>4395989.51/(7.6/100)</f>
        <v>57841967.236842103</v>
      </c>
      <c r="Q13" s="14">
        <f t="shared" si="4"/>
        <v>8</v>
      </c>
      <c r="R13" s="15">
        <f t="shared" si="5"/>
        <v>42948</v>
      </c>
      <c r="S13" s="16">
        <f t="shared" si="10"/>
        <v>57841967.236842103</v>
      </c>
      <c r="T13" s="52">
        <f t="shared" si="6"/>
        <v>4395989.51</v>
      </c>
      <c r="U13" s="53">
        <v>869498.75</v>
      </c>
      <c r="V13" s="54">
        <v>1219264.96</v>
      </c>
      <c r="W13" s="25">
        <f t="shared" si="0"/>
        <v>2307225.7999999998</v>
      </c>
      <c r="X13" s="55">
        <v>0</v>
      </c>
      <c r="Y13" s="16">
        <f t="shared" si="11"/>
        <v>3526490.76</v>
      </c>
      <c r="Z13" s="56">
        <f t="shared" si="12"/>
        <v>6.0967683646724599E-2</v>
      </c>
    </row>
    <row r="14" spans="2:26" s="1" customFormat="1" ht="33" customHeight="1">
      <c r="D14" s="18"/>
      <c r="E14" s="5">
        <f>(828662.8/(1.65/100))</f>
        <v>50221987.878787898</v>
      </c>
      <c r="F14" s="14">
        <f t="shared" si="1"/>
        <v>9</v>
      </c>
      <c r="G14" s="15">
        <v>42979</v>
      </c>
      <c r="H14" s="16">
        <f t="shared" si="2"/>
        <v>50221987.878787898</v>
      </c>
      <c r="I14" s="52">
        <f t="shared" si="3"/>
        <v>828662.8</v>
      </c>
      <c r="J14" s="53">
        <v>166379.81</v>
      </c>
      <c r="K14" s="54">
        <v>232204.29</v>
      </c>
      <c r="L14" s="25">
        <f t="shared" si="7"/>
        <v>430078.7</v>
      </c>
      <c r="M14" s="55">
        <v>0</v>
      </c>
      <c r="N14" s="16">
        <f t="shared" si="8"/>
        <v>662282.99</v>
      </c>
      <c r="O14" s="56">
        <f t="shared" si="9"/>
        <v>1.3187112218624999E-2</v>
      </c>
      <c r="P14" s="5">
        <f>3817328.6/(7.6/100)</f>
        <v>50228007.894736797</v>
      </c>
      <c r="Q14" s="14">
        <f t="shared" si="4"/>
        <v>9</v>
      </c>
      <c r="R14" s="15">
        <f t="shared" si="5"/>
        <v>42979</v>
      </c>
      <c r="S14" s="16">
        <f t="shared" si="10"/>
        <v>50228007.894736797</v>
      </c>
      <c r="T14" s="52">
        <f t="shared" si="6"/>
        <v>3817328.6</v>
      </c>
      <c r="U14" s="53">
        <v>766345.12</v>
      </c>
      <c r="V14" s="54">
        <v>1071572.56</v>
      </c>
      <c r="W14" s="25">
        <f t="shared" si="0"/>
        <v>1979410.92</v>
      </c>
      <c r="X14" s="55">
        <v>0</v>
      </c>
      <c r="Y14" s="16">
        <f t="shared" si="11"/>
        <v>3050983.48</v>
      </c>
      <c r="Z14" s="56">
        <f t="shared" si="12"/>
        <v>6.0742673418264302E-2</v>
      </c>
    </row>
    <row r="15" spans="2:26" s="1" customFormat="1" ht="33" customHeight="1">
      <c r="D15" s="5"/>
      <c r="E15" s="5">
        <f>721381.24/(1.65/100)</f>
        <v>43720075.151515096</v>
      </c>
      <c r="F15" s="14">
        <f t="shared" si="1"/>
        <v>10</v>
      </c>
      <c r="G15" s="15">
        <v>43009</v>
      </c>
      <c r="H15" s="16">
        <f t="shared" si="2"/>
        <v>43720075.151515096</v>
      </c>
      <c r="I15" s="52">
        <f t="shared" si="3"/>
        <v>721381.24</v>
      </c>
      <c r="J15" s="53">
        <v>195932.32</v>
      </c>
      <c r="K15" s="54">
        <v>244262.6</v>
      </c>
      <c r="L15" s="25">
        <f t="shared" si="7"/>
        <v>281186.32</v>
      </c>
      <c r="M15" s="55">
        <v>0</v>
      </c>
      <c r="N15" s="16">
        <f t="shared" si="8"/>
        <v>525448.92000000004</v>
      </c>
      <c r="O15" s="56">
        <f t="shared" si="9"/>
        <v>1.20184816283828E-2</v>
      </c>
      <c r="P15" s="5">
        <f>3324599.68/(7.6/100)</f>
        <v>43744732.631578997</v>
      </c>
      <c r="Q15" s="14">
        <f t="shared" si="4"/>
        <v>10</v>
      </c>
      <c r="R15" s="15">
        <f t="shared" si="5"/>
        <v>43009</v>
      </c>
      <c r="S15" s="16">
        <f t="shared" si="10"/>
        <v>43744732.631578997</v>
      </c>
      <c r="T15" s="52">
        <f t="shared" si="6"/>
        <v>3324599.68</v>
      </c>
      <c r="U15" s="53">
        <v>902466.6</v>
      </c>
      <c r="V15" s="54">
        <v>1127366.6599999999</v>
      </c>
      <c r="W15" s="25">
        <f t="shared" si="0"/>
        <v>1294766.42</v>
      </c>
      <c r="X15" s="55">
        <v>0</v>
      </c>
      <c r="Y15" s="16">
        <f t="shared" si="11"/>
        <v>2422133.08</v>
      </c>
      <c r="Z15" s="56">
        <f t="shared" si="12"/>
        <v>5.5369708174910201E-2</v>
      </c>
    </row>
    <row r="16" spans="2:26" s="1" customFormat="1" ht="33" customHeight="1">
      <c r="D16" s="5"/>
      <c r="E16" s="5">
        <f>(738257.15/(1.65/100))</f>
        <v>44742857.5757576</v>
      </c>
      <c r="F16" s="14">
        <f t="shared" si="1"/>
        <v>11</v>
      </c>
      <c r="G16" s="19">
        <v>43040</v>
      </c>
      <c r="H16" s="16">
        <f t="shared" si="2"/>
        <v>44742857.5757576</v>
      </c>
      <c r="I16" s="52">
        <f t="shared" si="3"/>
        <v>738257.15</v>
      </c>
      <c r="J16" s="53">
        <v>156521.68</v>
      </c>
      <c r="K16" s="54">
        <v>232800.58</v>
      </c>
      <c r="L16" s="25">
        <f t="shared" si="7"/>
        <v>348934.89</v>
      </c>
      <c r="M16" s="55">
        <v>0</v>
      </c>
      <c r="N16" s="16">
        <f t="shared" si="8"/>
        <v>581735.47</v>
      </c>
      <c r="O16" s="56">
        <f t="shared" si="9"/>
        <v>1.30017504808453E-2</v>
      </c>
      <c r="P16" s="5">
        <f>3401904.09/(7.6/100)</f>
        <v>44761895.921052597</v>
      </c>
      <c r="Q16" s="14">
        <f t="shared" si="4"/>
        <v>11</v>
      </c>
      <c r="R16" s="15">
        <f t="shared" si="5"/>
        <v>43040</v>
      </c>
      <c r="S16" s="16">
        <f t="shared" si="10"/>
        <v>44761895.921052597</v>
      </c>
      <c r="T16" s="52">
        <f t="shared" si="6"/>
        <v>3401904.09</v>
      </c>
      <c r="U16" s="53">
        <v>720939.31</v>
      </c>
      <c r="V16" s="54">
        <v>1074466.43</v>
      </c>
      <c r="W16" s="25">
        <f t="shared" si="0"/>
        <v>1606498.35</v>
      </c>
      <c r="X16" s="55">
        <v>0</v>
      </c>
      <c r="Y16" s="16">
        <f t="shared" si="11"/>
        <v>2680964.7799999998</v>
      </c>
      <c r="Z16" s="56">
        <f t="shared" si="12"/>
        <v>5.9893905850825997E-2</v>
      </c>
    </row>
    <row r="17" spans="4:26" s="1" customFormat="1" ht="33" customHeight="1">
      <c r="D17" s="5"/>
      <c r="E17" s="5">
        <f>(967801.25/(1.65/100))</f>
        <v>58654621.212121204</v>
      </c>
      <c r="F17" s="20">
        <f t="shared" si="1"/>
        <v>12</v>
      </c>
      <c r="G17" s="21">
        <v>43070</v>
      </c>
      <c r="H17" s="16">
        <f t="shared" si="2"/>
        <v>58654621.212121204</v>
      </c>
      <c r="I17" s="52">
        <f t="shared" si="3"/>
        <v>967801.25</v>
      </c>
      <c r="J17" s="53">
        <v>216499.24</v>
      </c>
      <c r="K17" s="54">
        <v>367418.63</v>
      </c>
      <c r="L17" s="25">
        <f t="shared" si="7"/>
        <v>383883.38</v>
      </c>
      <c r="M17" s="55">
        <v>0</v>
      </c>
      <c r="N17" s="16">
        <f t="shared" si="8"/>
        <v>751302.01</v>
      </c>
      <c r="O17" s="56">
        <f t="shared" si="9"/>
        <v>1.28089141908011E-2</v>
      </c>
      <c r="P17" s="5">
        <f>4460148.45/(7.6/100)</f>
        <v>58686163.815789498</v>
      </c>
      <c r="Q17" s="66">
        <f t="shared" si="4"/>
        <v>12</v>
      </c>
      <c r="R17" s="15">
        <f t="shared" si="5"/>
        <v>43070</v>
      </c>
      <c r="S17" s="16">
        <f t="shared" si="10"/>
        <v>58686163.815789498</v>
      </c>
      <c r="T17" s="52">
        <f t="shared" si="6"/>
        <v>4460148.45</v>
      </c>
      <c r="U17" s="53">
        <v>997204.41</v>
      </c>
      <c r="V17" s="54">
        <v>1695795.85</v>
      </c>
      <c r="W17" s="25">
        <f t="shared" si="0"/>
        <v>1767148.19</v>
      </c>
      <c r="X17" s="55">
        <v>0</v>
      </c>
      <c r="Y17" s="16">
        <f t="shared" si="11"/>
        <v>3462944.04</v>
      </c>
      <c r="Z17" s="56">
        <f t="shared" si="12"/>
        <v>5.9007844691806199E-2</v>
      </c>
    </row>
    <row r="18" spans="4:26" s="1" customFormat="1" ht="33" customHeight="1">
      <c r="D18" s="22"/>
      <c r="E18" s="5"/>
      <c r="F18" s="1191" t="s">
        <v>1010</v>
      </c>
      <c r="G18" s="1192"/>
      <c r="H18" s="23">
        <f>SUM(H6:H17)</f>
        <v>616486247.27272701</v>
      </c>
      <c r="I18" s="57"/>
      <c r="J18" s="1193" t="s">
        <v>1011</v>
      </c>
      <c r="K18" s="1193"/>
      <c r="L18" s="1193"/>
      <c r="M18" s="1193"/>
      <c r="N18" s="1194"/>
      <c r="O18" s="58">
        <f>IFERROR(AVERAGE(O6:O17)," ")</f>
        <v>1.3131698599208499E-2</v>
      </c>
      <c r="Q18" s="1195" t="s">
        <v>1010</v>
      </c>
      <c r="R18" s="1196"/>
      <c r="S18" s="67">
        <f>SUM(S6:S17)</f>
        <v>630123261.97368395</v>
      </c>
      <c r="T18" s="68"/>
      <c r="U18" s="1209" t="s">
        <v>1012</v>
      </c>
      <c r="V18" s="1209"/>
      <c r="W18" s="1209"/>
      <c r="X18" s="1209"/>
      <c r="Y18" s="1210"/>
      <c r="Z18" s="69">
        <f>IFERROR(AVERAGE(Z6:Z17)," ")</f>
        <v>6.0914065122609599E-2</v>
      </c>
    </row>
    <row r="19" spans="4:26" s="1" customFormat="1" ht="33" customHeight="1">
      <c r="D19" s="5"/>
      <c r="E19" s="5"/>
      <c r="F19" s="24" t="s">
        <v>15</v>
      </c>
      <c r="G19" s="4"/>
      <c r="H19" s="5"/>
      <c r="J19" s="5"/>
      <c r="K19" s="5"/>
      <c r="O19" s="6"/>
      <c r="P19" s="17"/>
      <c r="Q19" s="24" t="s">
        <v>15</v>
      </c>
      <c r="R19" s="4"/>
      <c r="S19" s="5"/>
      <c r="U19" s="5"/>
      <c r="V19" s="5"/>
      <c r="Z19" s="6"/>
    </row>
    <row r="20" spans="4:26" s="1" customFormat="1" ht="33" customHeight="1">
      <c r="E20" s="5"/>
      <c r="F20" s="13" t="s">
        <v>1013</v>
      </c>
      <c r="G20" s="1211" t="s">
        <v>1014</v>
      </c>
      <c r="H20" s="1212"/>
      <c r="I20" s="1212"/>
      <c r="J20" s="1212"/>
      <c r="K20" s="1212"/>
      <c r="L20" s="1212"/>
      <c r="M20" s="1212"/>
      <c r="N20" s="1212"/>
      <c r="O20" s="1213"/>
      <c r="Q20" s="13" t="s">
        <v>1013</v>
      </c>
      <c r="R20" s="1211" t="s">
        <v>1014</v>
      </c>
      <c r="S20" s="1212"/>
      <c r="T20" s="1212"/>
      <c r="U20" s="1212"/>
      <c r="V20" s="1212"/>
      <c r="W20" s="1212"/>
      <c r="X20" s="1212"/>
      <c r="Y20" s="1212"/>
      <c r="Z20" s="1213"/>
    </row>
    <row r="21" spans="4:26" ht="36" customHeight="1">
      <c r="F21" s="13" t="s">
        <v>1015</v>
      </c>
      <c r="G21" s="1211" t="s">
        <v>1016</v>
      </c>
      <c r="H21" s="1212"/>
      <c r="I21" s="1212"/>
      <c r="J21" s="1212"/>
      <c r="K21" s="1212"/>
      <c r="L21" s="1212"/>
      <c r="M21" s="1212"/>
      <c r="N21" s="1212"/>
      <c r="O21" s="1213"/>
      <c r="Q21" s="13" t="s">
        <v>1015</v>
      </c>
      <c r="R21" s="1211" t="s">
        <v>1016</v>
      </c>
      <c r="S21" s="1212"/>
      <c r="T21" s="1212"/>
      <c r="U21" s="1212"/>
      <c r="V21" s="1212"/>
      <c r="W21" s="1212"/>
      <c r="X21" s="1212"/>
      <c r="Y21" s="1212"/>
      <c r="Z21" s="1213"/>
    </row>
    <row r="22" spans="4:26" ht="72" customHeight="1">
      <c r="F22" s="13" t="s">
        <v>1017</v>
      </c>
      <c r="G22" s="1200" t="s">
        <v>1018</v>
      </c>
      <c r="H22" s="1201"/>
      <c r="I22" s="1201"/>
      <c r="J22" s="1201"/>
      <c r="K22" s="1201"/>
      <c r="L22" s="1201"/>
      <c r="M22" s="1201"/>
      <c r="N22" s="1201"/>
      <c r="O22" s="1202"/>
      <c r="Q22" s="13" t="s">
        <v>1017</v>
      </c>
      <c r="R22" s="1200" t="s">
        <v>1018</v>
      </c>
      <c r="S22" s="1201"/>
      <c r="T22" s="1201"/>
      <c r="U22" s="1201"/>
      <c r="V22" s="1201"/>
      <c r="W22" s="1201"/>
      <c r="X22" s="1201"/>
      <c r="Y22" s="1201"/>
      <c r="Z22" s="1202"/>
    </row>
    <row r="23" spans="4:26" ht="36" customHeight="1"/>
    <row r="24" spans="4:26" s="1" customFormat="1">
      <c r="E24" s="25" t="s">
        <v>1021</v>
      </c>
      <c r="F24" s="26" t="s">
        <v>1022</v>
      </c>
      <c r="G24" s="27" t="s">
        <v>1023</v>
      </c>
      <c r="H24" s="25" t="s">
        <v>1024</v>
      </c>
      <c r="I24" s="59" t="s">
        <v>1025</v>
      </c>
      <c r="J24" s="5"/>
      <c r="K24" s="5"/>
      <c r="O24" s="6"/>
      <c r="S24" s="5"/>
      <c r="U24" s="5"/>
      <c r="V24" s="5"/>
      <c r="W24" s="5"/>
      <c r="X24" s="5"/>
      <c r="Y24" s="5"/>
    </row>
    <row r="30" spans="4:26">
      <c r="G30" s="1245" t="s">
        <v>1019</v>
      </c>
      <c r="H30" s="1245"/>
      <c r="I30" s="60">
        <f>H18</f>
        <v>616486247.27272701</v>
      </c>
    </row>
    <row r="31" spans="4:26">
      <c r="G31" s="1245" t="s">
        <v>1026</v>
      </c>
      <c r="H31" s="1245"/>
      <c r="I31" s="60">
        <f>S18</f>
        <v>630123261.97368395</v>
      </c>
    </row>
    <row r="32" spans="4:26">
      <c r="G32" s="1246" t="s">
        <v>1027</v>
      </c>
      <c r="H32" s="1246"/>
      <c r="I32" s="61">
        <f>LARGE(I30:I31,1)</f>
        <v>630123261.97368395</v>
      </c>
    </row>
    <row r="33" spans="2:9">
      <c r="G33" s="1245" t="s">
        <v>1028</v>
      </c>
      <c r="H33" s="1245"/>
      <c r="I33" s="60">
        <v>688446674.50999999</v>
      </c>
    </row>
    <row r="34" spans="2:9">
      <c r="G34" s="1247" t="s">
        <v>1029</v>
      </c>
      <c r="H34" s="1247"/>
      <c r="I34" s="62">
        <f>I33*0.88</f>
        <v>605833073.56879997</v>
      </c>
    </row>
    <row r="35" spans="2:9">
      <c r="G35" s="1247" t="s">
        <v>1030</v>
      </c>
      <c r="H35" s="1247"/>
      <c r="I35" s="62">
        <f>I33*1.12</f>
        <v>771060275.45120001</v>
      </c>
    </row>
    <row r="36" spans="2:9" ht="24.75" customHeight="1">
      <c r="B36" s="1248" t="s">
        <v>1031</v>
      </c>
      <c r="C36" s="1249"/>
      <c r="D36" s="1250"/>
      <c r="I36" s="63"/>
    </row>
    <row r="37" spans="2:9" ht="20.25">
      <c r="B37" s="29" t="s">
        <v>1032</v>
      </c>
      <c r="C37" s="30" t="s">
        <v>1033</v>
      </c>
      <c r="D37" s="31" t="e">
        <f>IF(D41&gt;=D38,"ok","desclassificar")</f>
        <v>#REF!</v>
      </c>
      <c r="E37" s="32"/>
      <c r="I37" s="63"/>
    </row>
    <row r="38" spans="2:9" ht="20.25">
      <c r="B38" s="33" t="s">
        <v>1034</v>
      </c>
      <c r="C38" s="34" t="e">
        <v>#REF!</v>
      </c>
      <c r="D38" s="35" t="e">
        <f>10/100*C38</f>
        <v>#REF!</v>
      </c>
      <c r="E38" s="32"/>
      <c r="I38" s="63"/>
    </row>
    <row r="39" spans="2:9" ht="23.25">
      <c r="B39" s="1251" t="s">
        <v>1035</v>
      </c>
      <c r="C39" s="1251"/>
      <c r="D39" s="1251"/>
      <c r="E39" s="32"/>
      <c r="I39" s="1">
        <f>1-0.12</f>
        <v>0.88</v>
      </c>
    </row>
    <row r="40" spans="2:9" ht="23.25">
      <c r="B40" s="1252" t="s">
        <v>1036</v>
      </c>
      <c r="C40" s="1252"/>
      <c r="D40" s="36">
        <v>61792896.729999997</v>
      </c>
      <c r="E40" s="32"/>
      <c r="I40" s="1" t="s">
        <v>913</v>
      </c>
    </row>
    <row r="41" spans="2:9" ht="23.25">
      <c r="B41" s="1252" t="s">
        <v>1037</v>
      </c>
      <c r="C41" s="1252"/>
      <c r="D41" s="36">
        <v>75118051.140000001</v>
      </c>
      <c r="E41" s="32"/>
    </row>
    <row r="42" spans="2:9" ht="23.25">
      <c r="B42" s="1252" t="s">
        <v>1038</v>
      </c>
      <c r="C42" s="1252"/>
      <c r="D42" s="36">
        <f>I33</f>
        <v>688446674.50999999</v>
      </c>
      <c r="E42" s="37" t="s">
        <v>1039</v>
      </c>
    </row>
    <row r="43" spans="2:9" ht="23.25">
      <c r="B43" s="1252" t="s">
        <v>1040</v>
      </c>
      <c r="C43" s="1252"/>
      <c r="D43" s="38">
        <f>D41/D40</f>
        <v>1.21564217110946</v>
      </c>
      <c r="E43" s="39" t="str">
        <f>IF(D43&gt;=1,"ok","desclassificar")</f>
        <v>ok</v>
      </c>
    </row>
    <row r="44" spans="2:9" ht="23.25">
      <c r="B44" s="1252" t="s">
        <v>1041</v>
      </c>
      <c r="C44" s="1252"/>
      <c r="D44" s="40">
        <f>(D42/12-D40)/(D42/12)</f>
        <v>-7.7083800699264002E-2</v>
      </c>
      <c r="E44" s="41" t="str">
        <f>IF(ABS(D44)&lt;=10%,"ok","justificar")</f>
        <v>ok</v>
      </c>
    </row>
  </sheetData>
  <mergeCells count="33">
    <mergeCell ref="B40:C40"/>
    <mergeCell ref="B41:C41"/>
    <mergeCell ref="B42:C42"/>
    <mergeCell ref="B43:C43"/>
    <mergeCell ref="B44:C44"/>
    <mergeCell ref="G33:H33"/>
    <mergeCell ref="G34:H34"/>
    <mergeCell ref="G35:H35"/>
    <mergeCell ref="B36:D36"/>
    <mergeCell ref="B39:D39"/>
    <mergeCell ref="G22:O22"/>
    <mergeCell ref="R22:Z22"/>
    <mergeCell ref="G30:H30"/>
    <mergeCell ref="G31:H31"/>
    <mergeCell ref="G32:H32"/>
    <mergeCell ref="U18:Y18"/>
    <mergeCell ref="G20:O20"/>
    <mergeCell ref="R20:Z20"/>
    <mergeCell ref="G21:O21"/>
    <mergeCell ref="R21:Z21"/>
    <mergeCell ref="F3:H3"/>
    <mergeCell ref="Q3:S3"/>
    <mergeCell ref="B5:C5"/>
    <mergeCell ref="F18:G18"/>
    <mergeCell ref="J18:N18"/>
    <mergeCell ref="Q18:R18"/>
    <mergeCell ref="F4:F5"/>
    <mergeCell ref="G4:G5"/>
    <mergeCell ref="Q4:Q5"/>
    <mergeCell ref="R4:R5"/>
    <mergeCell ref="B3:D4"/>
    <mergeCell ref="B6:C9"/>
    <mergeCell ref="B10:C13"/>
  </mergeCells>
  <conditionalFormatting sqref="D37">
    <cfRule type="expression" dxfId="5" priority="1">
      <formula>$D$41&lt;$D$38</formula>
    </cfRule>
    <cfRule type="expression" dxfId="4" priority="2">
      <formula>$D$41&gt;=$D$38</formula>
    </cfRule>
  </conditionalFormatting>
  <conditionalFormatting sqref="E43">
    <cfRule type="expression" dxfId="3" priority="5">
      <formula>$D$43&lt;1</formula>
    </cfRule>
    <cfRule type="expression" dxfId="2" priority="6">
      <formula>$D$43&gt;=1</formula>
    </cfRule>
  </conditionalFormatting>
  <conditionalFormatting sqref="E44">
    <cfRule type="expression" dxfId="1" priority="3">
      <formula>ABS($D$44)&gt;10%</formula>
    </cfRule>
    <cfRule type="expression" dxfId="0" priority="4">
      <formula>ABS($D$44)&lt;=10%</formula>
    </cfRule>
  </conditionalFormatting>
  <printOptions horizontalCentered="1" verticalCentered="1"/>
  <pageMargins left="0.511811023622047" right="0.511811023622047" top="0.78740157480314998" bottom="0.78740157480314998" header="0.31496062992126" footer="0.31496062992126"/>
  <pageSetup paperSize="9" scale="31"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AB33"/>
  <sheetViews>
    <sheetView showGridLines="0" topLeftCell="A2" zoomScale="90" zoomScaleNormal="90" workbookViewId="0">
      <selection activeCell="C37" sqref="C37"/>
    </sheetView>
  </sheetViews>
  <sheetFormatPr defaultColWidth="9.140625" defaultRowHeight="18"/>
  <cols>
    <col min="1" max="1" width="9.140625" style="403"/>
    <col min="2" max="2" width="7.42578125" style="403" customWidth="1"/>
    <col min="3" max="3" width="70.7109375" style="404" customWidth="1"/>
    <col min="4" max="4" width="17.28515625" style="404" customWidth="1"/>
    <col min="5" max="5" width="19.42578125" style="404" customWidth="1"/>
    <col min="6" max="6" width="28.140625" style="404" customWidth="1"/>
    <col min="7" max="7" width="22.42578125" style="404" customWidth="1"/>
    <col min="8" max="8" width="19.42578125" style="404" customWidth="1"/>
    <col min="9" max="9" width="14.42578125" style="404" customWidth="1"/>
    <col min="10" max="10" width="16" style="404" customWidth="1"/>
    <col min="11" max="11" width="9.85546875" style="404" customWidth="1"/>
    <col min="12" max="13" width="9.140625" style="403"/>
    <col min="14" max="14" width="26.140625" style="403" customWidth="1"/>
    <col min="15" max="15" width="20.140625" style="403" customWidth="1"/>
    <col min="16" max="16384" width="9.140625" style="403"/>
  </cols>
  <sheetData>
    <row r="2" spans="2:11">
      <c r="B2" s="803" t="s">
        <v>677</v>
      </c>
      <c r="C2" s="808" t="s">
        <v>677</v>
      </c>
      <c r="D2" s="809"/>
    </row>
    <row r="3" spans="2:11" ht="18" customHeight="1">
      <c r="B3" s="804"/>
      <c r="C3" s="810"/>
      <c r="D3" s="811"/>
      <c r="E3" s="405" t="s">
        <v>678</v>
      </c>
    </row>
    <row r="4" spans="2:11">
      <c r="B4" s="804"/>
      <c r="C4" s="405" t="s">
        <v>679</v>
      </c>
      <c r="D4" s="406" t="s">
        <v>680</v>
      </c>
      <c r="E4" s="406" t="s">
        <v>681</v>
      </c>
      <c r="F4" s="406" t="s">
        <v>682</v>
      </c>
      <c r="G4" s="406" t="s">
        <v>683</v>
      </c>
      <c r="H4" s="406" t="s">
        <v>684</v>
      </c>
      <c r="I4" s="406" t="s">
        <v>685</v>
      </c>
      <c r="J4" s="406" t="s">
        <v>686</v>
      </c>
      <c r="K4" s="426" t="s">
        <v>687</v>
      </c>
    </row>
    <row r="5" spans="2:11">
      <c r="B5" s="804"/>
      <c r="C5" s="405">
        <v>1</v>
      </c>
      <c r="D5" s="407">
        <v>0.375</v>
      </c>
      <c r="E5" s="407">
        <f>D5</f>
        <v>0.375</v>
      </c>
      <c r="F5" s="407">
        <f t="shared" ref="F5:G5" si="0">E5</f>
        <v>0.375</v>
      </c>
      <c r="G5" s="407">
        <f t="shared" si="0"/>
        <v>0.375</v>
      </c>
      <c r="H5" s="407">
        <v>0.33333333333333298</v>
      </c>
      <c r="I5" s="408"/>
      <c r="J5" s="408"/>
      <c r="K5" s="427">
        <f>HOUR(H5)+MINUTE(H5)/60+HOUR(D5)+MINUTE(D5)/60+HOUR(E5)+MINUTE(E5)/60+HOUR(F5)+MINUTE(F5)/60+HOUR(G5)+MINUTE(G5)/60</f>
        <v>44</v>
      </c>
    </row>
    <row r="6" spans="2:11">
      <c r="B6" s="804"/>
      <c r="C6" s="405">
        <v>2</v>
      </c>
      <c r="D6" s="407">
        <f>D5</f>
        <v>0.375</v>
      </c>
      <c r="E6" s="407">
        <f t="shared" ref="E6:H8" si="1">E5</f>
        <v>0.375</v>
      </c>
      <c r="F6" s="407">
        <f t="shared" si="1"/>
        <v>0.375</v>
      </c>
      <c r="G6" s="407">
        <f t="shared" si="1"/>
        <v>0.375</v>
      </c>
      <c r="H6" s="407">
        <f t="shared" si="1"/>
        <v>0.33333333333333298</v>
      </c>
      <c r="I6" s="408"/>
      <c r="J6" s="408"/>
      <c r="K6" s="427">
        <f>HOUR(H6)+MINUTE(H6)/60+HOUR(D6)+MINUTE(D6)/60+HOUR(E6)+MINUTE(E6)/60+HOUR(F6)+MINUTE(F6)/60+HOUR(G6)+MINUTE(G6)/60</f>
        <v>44</v>
      </c>
    </row>
    <row r="7" spans="2:11">
      <c r="B7" s="804"/>
      <c r="C7" s="405">
        <v>3</v>
      </c>
      <c r="D7" s="407">
        <f>D6</f>
        <v>0.375</v>
      </c>
      <c r="E7" s="407">
        <f t="shared" si="1"/>
        <v>0.375</v>
      </c>
      <c r="F7" s="407">
        <f t="shared" si="1"/>
        <v>0.375</v>
      </c>
      <c r="G7" s="407">
        <f t="shared" si="1"/>
        <v>0.375</v>
      </c>
      <c r="H7" s="407">
        <f t="shared" si="1"/>
        <v>0.33333333333333298</v>
      </c>
      <c r="I7" s="408"/>
      <c r="J7" s="408"/>
      <c r="K7" s="427">
        <f>HOUR(H7)+MINUTE(H7)/60+HOUR(D7)+MINUTE(D7)/60+HOUR(E7)+MINUTE(E7)/60+HOUR(F7)+MINUTE(F7)/60+HOUR(G7)+MINUTE(G7)/60</f>
        <v>44</v>
      </c>
    </row>
    <row r="8" spans="2:11">
      <c r="B8" s="804"/>
      <c r="C8" s="405">
        <v>4</v>
      </c>
      <c r="D8" s="407">
        <f>D7</f>
        <v>0.375</v>
      </c>
      <c r="E8" s="407">
        <f t="shared" si="1"/>
        <v>0.375</v>
      </c>
      <c r="F8" s="407">
        <f t="shared" si="1"/>
        <v>0.375</v>
      </c>
      <c r="G8" s="407">
        <f t="shared" si="1"/>
        <v>0.375</v>
      </c>
      <c r="H8" s="407">
        <f t="shared" si="1"/>
        <v>0.33333333333333298</v>
      </c>
      <c r="I8" s="408"/>
      <c r="J8" s="408"/>
      <c r="K8" s="427">
        <f>HOUR(H8)+MINUTE(H8)/60+HOUR(D8)+MINUTE(D8)/60+HOUR(E8)+MINUTE(E8)/60+HOUR(F8)+MINUTE(F8)/60+HOUR(G8)+MINUTE(G8)/60</f>
        <v>44</v>
      </c>
    </row>
    <row r="9" spans="2:11">
      <c r="B9" s="804"/>
      <c r="C9" s="405">
        <v>5</v>
      </c>
      <c r="D9" s="407">
        <f>D8</f>
        <v>0.375</v>
      </c>
      <c r="E9" s="407">
        <f>E8</f>
        <v>0.375</v>
      </c>
      <c r="F9" s="408"/>
      <c r="G9" s="408"/>
      <c r="H9" s="408"/>
      <c r="I9" s="408"/>
      <c r="J9" s="408"/>
      <c r="K9" s="427">
        <f>HOUR(H9)+MINUTE(H9)/60+HOUR(D9)+MINUTE(D9)/60+HOUR(E9)+MINUTE(E9)/60+HOUR(F9)+MINUTE(F9)/60+HOUR(G9)+MINUTE(G9)/60</f>
        <v>18</v>
      </c>
    </row>
    <row r="10" spans="2:11" ht="48" customHeight="1">
      <c r="B10" s="805"/>
      <c r="C10" s="405" t="s">
        <v>688</v>
      </c>
      <c r="D10" s="409">
        <f>COUNTIF(D5:J9,"&gt;0")</f>
        <v>22</v>
      </c>
      <c r="E10" s="410"/>
      <c r="F10" s="410"/>
      <c r="G10" s="410"/>
      <c r="H10" s="410"/>
      <c r="I10" s="791" t="s">
        <v>689</v>
      </c>
      <c r="J10" s="791"/>
      <c r="K10" s="428">
        <f>SUM(K5:K9)</f>
        <v>194</v>
      </c>
    </row>
    <row r="11" spans="2:11">
      <c r="B11" s="411"/>
    </row>
    <row r="12" spans="2:11">
      <c r="B12" s="412" t="s">
        <v>15</v>
      </c>
    </row>
    <row r="13" spans="2:11" ht="34.5" customHeight="1">
      <c r="B13" s="792" t="s">
        <v>690</v>
      </c>
      <c r="C13" s="793"/>
      <c r="D13" s="793"/>
      <c r="E13" s="793"/>
      <c r="F13" s="793"/>
      <c r="G13" s="793"/>
      <c r="H13" s="793"/>
      <c r="I13" s="793"/>
      <c r="J13" s="793"/>
      <c r="K13" s="794"/>
    </row>
    <row r="14" spans="2:11" ht="15" customHeight="1">
      <c r="B14" s="413"/>
      <c r="D14" s="414"/>
      <c r="E14" s="414"/>
      <c r="F14" s="415"/>
      <c r="J14" s="429"/>
      <c r="K14" s="430"/>
    </row>
    <row r="15" spans="2:11" ht="15" customHeight="1">
      <c r="D15" s="414"/>
      <c r="E15" s="414"/>
      <c r="F15" s="415"/>
      <c r="J15" s="429"/>
      <c r="K15" s="430"/>
    </row>
    <row r="16" spans="2:11" ht="22.5" customHeight="1">
      <c r="C16" s="795" t="s">
        <v>691</v>
      </c>
      <c r="D16" s="796"/>
      <c r="E16" s="416"/>
      <c r="F16" s="416"/>
      <c r="G16" s="416"/>
      <c r="H16" s="416"/>
      <c r="I16" s="416"/>
      <c r="J16" s="416"/>
      <c r="K16" s="430"/>
    </row>
    <row r="17" spans="3:28" ht="20.25" customHeight="1">
      <c r="C17" s="806" t="s">
        <v>692</v>
      </c>
      <c r="D17" s="799" t="s">
        <v>693</v>
      </c>
      <c r="E17" s="797" t="s">
        <v>694</v>
      </c>
      <c r="F17" s="798"/>
      <c r="G17" s="797" t="s">
        <v>695</v>
      </c>
      <c r="H17" s="798"/>
      <c r="I17" s="799" t="s">
        <v>696</v>
      </c>
      <c r="J17" s="799" t="s">
        <v>697</v>
      </c>
      <c r="K17" s="430"/>
    </row>
    <row r="18" spans="3:28" ht="60.75" customHeight="1">
      <c r="C18" s="807"/>
      <c r="D18" s="800"/>
      <c r="E18" s="417" t="s">
        <v>698</v>
      </c>
      <c r="F18" s="417" t="s">
        <v>699</v>
      </c>
      <c r="G18" s="417" t="s">
        <v>700</v>
      </c>
      <c r="H18" s="417" t="s">
        <v>701</v>
      </c>
      <c r="I18" s="800"/>
      <c r="J18" s="800"/>
    </row>
    <row r="19" spans="3:28" ht="114" customHeight="1">
      <c r="C19" s="480" t="str">
        <f>CONCATENATE(Áreas_edf_e_Descrição_postos!C16,", ",Áreas_edf_e_Descrição_postos!C17,", ",Áreas_edf_e_Descrição_postos!C18,". ")</f>
        <v xml:space="preserve">Supervisor, Garçom, Copeiro. </v>
      </c>
      <c r="D19" s="418">
        <f>D10</f>
        <v>22</v>
      </c>
      <c r="E19" s="419">
        <v>10.85</v>
      </c>
      <c r="F19" s="419">
        <f>$C$25</f>
        <v>5.5</v>
      </c>
      <c r="G19" s="419">
        <v>5.5</v>
      </c>
      <c r="H19" s="419">
        <v>1.85</v>
      </c>
      <c r="I19" s="419">
        <f>E19+F19+G19+H19</f>
        <v>23.700000000000003</v>
      </c>
      <c r="J19" s="419">
        <f>D19*I19</f>
        <v>521.40000000000009</v>
      </c>
    </row>
    <row r="20" spans="3:28" ht="27" customHeight="1">
      <c r="C20" s="420" t="s">
        <v>702</v>
      </c>
      <c r="D20" s="421"/>
      <c r="E20" s="422"/>
      <c r="F20" s="422"/>
      <c r="G20" s="422"/>
      <c r="H20" s="422"/>
      <c r="I20" s="422"/>
      <c r="J20" s="422"/>
    </row>
    <row r="21" spans="3:28" ht="31.5" customHeight="1">
      <c r="C21" s="780" t="s">
        <v>703</v>
      </c>
      <c r="D21" s="781"/>
      <c r="E21" s="781"/>
      <c r="F21" s="781"/>
      <c r="G21" s="781"/>
      <c r="H21" s="781"/>
      <c r="I21" s="781"/>
      <c r="J21" s="782"/>
    </row>
    <row r="23" spans="3:28" s="402" customFormat="1" ht="18" customHeight="1">
      <c r="C23" s="783" t="s">
        <v>704</v>
      </c>
      <c r="D23" s="784"/>
      <c r="E23" s="783" t="s">
        <v>705</v>
      </c>
      <c r="F23" s="785"/>
      <c r="G23" s="785"/>
      <c r="H23" s="785"/>
      <c r="I23" s="785"/>
      <c r="J23" s="785"/>
      <c r="K23" s="784"/>
      <c r="M23" s="202"/>
      <c r="N23" s="202"/>
      <c r="O23" s="202"/>
      <c r="P23" s="202"/>
      <c r="Q23" s="202"/>
      <c r="R23" s="202"/>
      <c r="S23" s="202"/>
      <c r="T23" s="202"/>
      <c r="U23" s="202"/>
      <c r="V23" s="202"/>
      <c r="W23" s="202"/>
      <c r="X23" s="202"/>
      <c r="Y23" s="202"/>
      <c r="Z23" s="202"/>
      <c r="AA23" s="202"/>
      <c r="AB23" s="202"/>
    </row>
    <row r="24" spans="3:28" s="402" customFormat="1" ht="15.75">
      <c r="C24" s="786">
        <v>10.85</v>
      </c>
      <c r="D24" s="787"/>
      <c r="E24" s="788" t="s">
        <v>1315</v>
      </c>
      <c r="F24" s="789"/>
      <c r="G24" s="789"/>
      <c r="H24" s="789"/>
      <c r="I24" s="789"/>
      <c r="J24" s="789"/>
      <c r="K24" s="790"/>
      <c r="M24" s="202"/>
      <c r="N24" s="202"/>
      <c r="O24" s="202"/>
      <c r="P24" s="202"/>
      <c r="Q24" s="202"/>
      <c r="R24" s="202"/>
      <c r="S24" s="202"/>
      <c r="T24" s="202"/>
      <c r="U24" s="202"/>
      <c r="V24" s="202"/>
      <c r="W24" s="202"/>
      <c r="X24" s="202"/>
      <c r="Y24" s="202"/>
      <c r="Z24" s="202"/>
      <c r="AA24" s="202"/>
      <c r="AB24" s="202"/>
    </row>
    <row r="25" spans="3:28" s="402" customFormat="1" ht="15.75">
      <c r="C25" s="818">
        <v>5.5</v>
      </c>
      <c r="D25" s="818"/>
      <c r="E25" s="819" t="s">
        <v>706</v>
      </c>
      <c r="F25" s="820"/>
      <c r="G25" s="820"/>
      <c r="H25" s="820"/>
      <c r="I25" s="820"/>
      <c r="J25" s="820"/>
      <c r="K25" s="821"/>
      <c r="M25" s="202"/>
      <c r="N25" s="202"/>
      <c r="O25" s="202"/>
      <c r="P25" s="202"/>
      <c r="Q25" s="202"/>
      <c r="R25" s="202"/>
      <c r="S25" s="202"/>
      <c r="T25" s="202"/>
      <c r="U25" s="202"/>
      <c r="V25" s="202"/>
      <c r="W25" s="202"/>
      <c r="X25" s="202"/>
      <c r="Y25" s="202"/>
      <c r="Z25" s="202"/>
      <c r="AA25" s="202"/>
      <c r="AB25" s="202"/>
    </row>
    <row r="26" spans="3:28" s="402" customFormat="1">
      <c r="C26" s="423"/>
      <c r="D26" s="423"/>
      <c r="E26" s="423"/>
      <c r="F26" s="423"/>
      <c r="G26" s="423"/>
      <c r="H26" s="423"/>
      <c r="I26" s="423"/>
      <c r="J26" s="423"/>
      <c r="K26" s="423"/>
      <c r="M26" s="202"/>
      <c r="N26" s="202"/>
      <c r="O26" s="202"/>
      <c r="P26" s="202"/>
      <c r="Q26" s="202"/>
      <c r="R26" s="202"/>
      <c r="S26" s="202"/>
      <c r="T26" s="202"/>
      <c r="U26" s="202"/>
      <c r="V26" s="202"/>
      <c r="W26" s="202"/>
      <c r="X26" s="202"/>
      <c r="Y26" s="202"/>
      <c r="Z26" s="202"/>
      <c r="AA26" s="202"/>
      <c r="AB26" s="202"/>
    </row>
    <row r="27" spans="3:28" s="402" customFormat="1" ht="26.25" customHeight="1">
      <c r="C27" s="822" t="s">
        <v>707</v>
      </c>
      <c r="D27" s="823"/>
      <c r="E27" s="823"/>
      <c r="F27" s="823"/>
      <c r="G27" s="823"/>
      <c r="H27" s="824"/>
      <c r="J27" s="202"/>
      <c r="K27" s="202"/>
      <c r="L27" s="202"/>
      <c r="M27" s="202"/>
      <c r="N27" s="202"/>
      <c r="O27" s="202"/>
      <c r="P27" s="202"/>
      <c r="Q27" s="202"/>
      <c r="R27" s="202"/>
      <c r="S27" s="202"/>
      <c r="T27" s="202"/>
      <c r="U27" s="202"/>
      <c r="V27" s="202"/>
      <c r="W27" s="202"/>
      <c r="X27" s="202"/>
      <c r="Y27" s="202"/>
    </row>
    <row r="28" spans="3:28" s="402" customFormat="1" ht="55.5" customHeight="1">
      <c r="C28" s="778" t="s">
        <v>708</v>
      </c>
      <c r="D28" s="779"/>
      <c r="E28" s="778" t="s">
        <v>709</v>
      </c>
      <c r="F28" s="779"/>
      <c r="G28" s="424" t="s">
        <v>710</v>
      </c>
      <c r="H28" s="424" t="s">
        <v>711</v>
      </c>
      <c r="J28" s="202"/>
      <c r="K28" s="202"/>
      <c r="L28" s="202"/>
      <c r="M28" s="202"/>
      <c r="N28" s="431"/>
      <c r="O28" s="432"/>
      <c r="P28" s="202"/>
      <c r="Q28" s="202"/>
      <c r="R28" s="202"/>
      <c r="S28" s="202"/>
      <c r="T28" s="202"/>
      <c r="U28" s="202"/>
      <c r="V28" s="202"/>
      <c r="W28" s="202"/>
      <c r="X28" s="202"/>
      <c r="Y28" s="202"/>
    </row>
    <row r="29" spans="3:28" s="402" customFormat="1" ht="30" customHeight="1">
      <c r="C29" s="812" t="s">
        <v>1044</v>
      </c>
      <c r="D29" s="813"/>
      <c r="E29" s="814">
        <f>D19</f>
        <v>22</v>
      </c>
      <c r="F29" s="815"/>
      <c r="G29" s="425">
        <v>42.2</v>
      </c>
      <c r="H29" s="425">
        <f>ROUND(G29*E29,2)</f>
        <v>928.4</v>
      </c>
      <c r="J29" s="202"/>
      <c r="K29" s="202"/>
      <c r="L29" s="202"/>
      <c r="M29" s="202"/>
      <c r="N29" s="433"/>
      <c r="O29" s="434"/>
      <c r="P29" s="202"/>
      <c r="Q29" s="202"/>
      <c r="R29" s="202"/>
      <c r="S29" s="202"/>
      <c r="T29" s="202"/>
      <c r="U29" s="202"/>
      <c r="V29" s="202"/>
      <c r="W29" s="202"/>
      <c r="X29" s="202"/>
      <c r="Y29" s="202"/>
    </row>
    <row r="30" spans="3:28" s="402" customFormat="1" ht="30" customHeight="1">
      <c r="C30" s="812" t="s">
        <v>1046</v>
      </c>
      <c r="D30" s="813"/>
      <c r="E30" s="814">
        <f>D10</f>
        <v>22</v>
      </c>
      <c r="F30" s="815"/>
      <c r="G30" s="425">
        <v>42.2</v>
      </c>
      <c r="H30" s="425">
        <f t="shared" ref="H30:H31" si="2">ROUND(G30*E30,2)</f>
        <v>928.4</v>
      </c>
      <c r="J30" s="202"/>
      <c r="K30" s="202"/>
      <c r="L30" s="202"/>
      <c r="M30" s="202"/>
      <c r="N30" s="433"/>
      <c r="O30" s="434"/>
      <c r="P30" s="202"/>
      <c r="Q30" s="202"/>
      <c r="R30" s="202"/>
      <c r="S30" s="202"/>
      <c r="T30" s="202"/>
      <c r="U30" s="202"/>
      <c r="V30" s="202"/>
      <c r="W30" s="202"/>
      <c r="X30" s="202"/>
      <c r="Y30" s="202"/>
    </row>
    <row r="31" spans="3:28" s="402" customFormat="1" ht="30" customHeight="1">
      <c r="C31" s="812" t="s">
        <v>1191</v>
      </c>
      <c r="D31" s="813"/>
      <c r="E31" s="814">
        <v>22</v>
      </c>
      <c r="F31" s="815"/>
      <c r="G31" s="425">
        <v>42.2</v>
      </c>
      <c r="H31" s="425">
        <f t="shared" si="2"/>
        <v>928.4</v>
      </c>
      <c r="J31" s="202"/>
      <c r="K31" s="202"/>
      <c r="L31" s="202"/>
      <c r="M31" s="202"/>
      <c r="N31" s="433"/>
      <c r="O31" s="434"/>
      <c r="P31" s="202"/>
      <c r="Q31" s="202"/>
      <c r="R31" s="202"/>
      <c r="S31" s="202"/>
      <c r="T31" s="202"/>
      <c r="U31" s="202"/>
      <c r="V31" s="202"/>
      <c r="W31" s="202"/>
      <c r="X31" s="202"/>
      <c r="Y31" s="202"/>
    </row>
    <row r="32" spans="3:28" ht="26.25" customHeight="1">
      <c r="C32" s="816" t="s">
        <v>702</v>
      </c>
      <c r="D32" s="817"/>
    </row>
    <row r="33" spans="3:8" ht="95.25" customHeight="1">
      <c r="C33" s="801">
        <v>1</v>
      </c>
      <c r="D33" s="801"/>
      <c r="E33" s="802" t="s">
        <v>1354</v>
      </c>
      <c r="F33" s="802"/>
      <c r="G33" s="802"/>
      <c r="H33" s="802"/>
    </row>
  </sheetData>
  <mergeCells count="30">
    <mergeCell ref="C33:D33"/>
    <mergeCell ref="E33:H33"/>
    <mergeCell ref="B2:B10"/>
    <mergeCell ref="C17:C18"/>
    <mergeCell ref="D17:D18"/>
    <mergeCell ref="C2:D3"/>
    <mergeCell ref="C29:D29"/>
    <mergeCell ref="E29:F29"/>
    <mergeCell ref="C30:D30"/>
    <mergeCell ref="E30:F30"/>
    <mergeCell ref="C32:D32"/>
    <mergeCell ref="C25:D25"/>
    <mergeCell ref="E25:K25"/>
    <mergeCell ref="C27:H27"/>
    <mergeCell ref="C31:D31"/>
    <mergeCell ref="E31:F31"/>
    <mergeCell ref="I10:J10"/>
    <mergeCell ref="B13:K13"/>
    <mergeCell ref="C16:D16"/>
    <mergeCell ref="E17:F17"/>
    <mergeCell ref="G17:H17"/>
    <mergeCell ref="I17:I18"/>
    <mergeCell ref="J17:J18"/>
    <mergeCell ref="C28:D28"/>
    <mergeCell ref="E28:F28"/>
    <mergeCell ref="C21:J21"/>
    <mergeCell ref="C23:D23"/>
    <mergeCell ref="E23:K23"/>
    <mergeCell ref="C24:D24"/>
    <mergeCell ref="E24:K24"/>
  </mergeCells>
  <printOptions horizontalCentered="1" verticalCentered="1"/>
  <pageMargins left="0.511811023622047" right="0.511811023622047" top="0.78740157480314998" bottom="0.78740157480314998" header="0.31496062992126" footer="0.31496062992126"/>
  <pageSetup paperSize="9" scale="38"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A107"/>
  <sheetViews>
    <sheetView topLeftCell="A55" workbookViewId="0">
      <pane xSplit="1" topLeftCell="B1" activePane="topRight" state="frozen"/>
      <selection pane="topRight" activeCell="V53" sqref="V53:AA58"/>
    </sheetView>
  </sheetViews>
  <sheetFormatPr defaultRowHeight="12.75"/>
  <cols>
    <col min="1" max="1" width="4.42578125" customWidth="1"/>
    <col min="2" max="2" width="5.7109375" customWidth="1"/>
    <col min="3" max="3" width="64.28515625" customWidth="1"/>
    <col min="5" max="5" width="4.7109375" customWidth="1"/>
    <col min="6" max="6" width="22.7109375" hidden="1" customWidth="1"/>
    <col min="7" max="13" width="23.42578125" hidden="1" customWidth="1"/>
    <col min="14" max="15" width="10.5703125" hidden="1" customWidth="1"/>
    <col min="16" max="16" width="12.7109375" customWidth="1"/>
    <col min="17" max="17" width="13.28515625" bestFit="1" customWidth="1"/>
    <col min="18" max="18" width="12.140625" hidden="1" customWidth="1"/>
    <col min="19" max="19" width="13.7109375" hidden="1" customWidth="1"/>
    <col min="20" max="20" width="0" hidden="1" customWidth="1"/>
    <col min="22" max="22" width="18.7109375" customWidth="1"/>
    <col min="23" max="23" width="13.28515625" bestFit="1" customWidth="1"/>
    <col min="24" max="24" width="37.28515625" customWidth="1"/>
    <col min="25" max="25" width="24.7109375" customWidth="1"/>
    <col min="26" max="26" width="16.85546875" customWidth="1"/>
    <col min="27" max="27" width="15" customWidth="1"/>
  </cols>
  <sheetData>
    <row r="1" spans="2:24" ht="15.75">
      <c r="B1" s="462"/>
      <c r="C1" s="462"/>
      <c r="D1" s="462"/>
      <c r="E1" s="462"/>
      <c r="F1" s="462"/>
      <c r="G1" s="462"/>
      <c r="H1" s="462"/>
      <c r="I1" s="462"/>
      <c r="J1" s="462"/>
      <c r="K1" s="462"/>
      <c r="L1" s="462"/>
      <c r="M1" s="462"/>
      <c r="R1" s="831" t="s">
        <v>1141</v>
      </c>
      <c r="S1" s="831"/>
    </row>
    <row r="2" spans="2:24" ht="36.75" customHeight="1">
      <c r="B2" s="832" t="s">
        <v>1106</v>
      </c>
      <c r="C2" s="833"/>
      <c r="D2" s="833"/>
      <c r="E2" s="476"/>
      <c r="F2" s="474" t="s">
        <v>1107</v>
      </c>
      <c r="G2" s="474" t="s">
        <v>1183</v>
      </c>
      <c r="H2" s="474" t="s">
        <v>1187</v>
      </c>
      <c r="I2" s="474" t="s">
        <v>1184</v>
      </c>
      <c r="J2" s="474" t="s">
        <v>1185</v>
      </c>
      <c r="K2" s="474" t="s">
        <v>1186</v>
      </c>
      <c r="L2" s="474" t="s">
        <v>1190</v>
      </c>
      <c r="M2" s="474" t="s">
        <v>1188</v>
      </c>
      <c r="N2" s="834"/>
      <c r="O2" s="835"/>
      <c r="P2" s="832" t="s">
        <v>1108</v>
      </c>
      <c r="Q2" s="836"/>
      <c r="R2" s="832" t="s">
        <v>1108</v>
      </c>
      <c r="S2" s="836"/>
    </row>
    <row r="3" spans="2:24" ht="49.5" customHeight="1">
      <c r="B3" s="475" t="s">
        <v>810</v>
      </c>
      <c r="C3" s="475" t="s">
        <v>1109</v>
      </c>
      <c r="D3" s="475" t="s">
        <v>897</v>
      </c>
      <c r="E3" s="475" t="s">
        <v>1110</v>
      </c>
      <c r="F3" s="475" t="s">
        <v>1111</v>
      </c>
      <c r="G3" s="475" t="s">
        <v>1111</v>
      </c>
      <c r="H3" s="475" t="s">
        <v>1111</v>
      </c>
      <c r="I3" s="475" t="s">
        <v>1111</v>
      </c>
      <c r="J3" s="475" t="s">
        <v>1111</v>
      </c>
      <c r="K3" s="475" t="s">
        <v>1111</v>
      </c>
      <c r="L3" s="475" t="s">
        <v>1111</v>
      </c>
      <c r="M3" s="475" t="s">
        <v>1111</v>
      </c>
      <c r="N3" s="477" t="s">
        <v>1112</v>
      </c>
      <c r="O3" s="478" t="s">
        <v>715</v>
      </c>
      <c r="P3" s="475" t="s">
        <v>1113</v>
      </c>
      <c r="Q3" s="475" t="s">
        <v>1114</v>
      </c>
      <c r="R3" s="475" t="s">
        <v>1115</v>
      </c>
      <c r="S3" s="475" t="s">
        <v>1114</v>
      </c>
    </row>
    <row r="4" spans="2:24" ht="20.25" customHeight="1">
      <c r="B4" s="471">
        <v>1</v>
      </c>
      <c r="C4" s="762" t="s">
        <v>1116</v>
      </c>
      <c r="D4" s="471" t="s">
        <v>891</v>
      </c>
      <c r="E4" s="479">
        <v>250</v>
      </c>
      <c r="F4" s="468">
        <v>4.29</v>
      </c>
      <c r="G4" s="613">
        <v>11.77</v>
      </c>
      <c r="H4" s="464">
        <v>7.89</v>
      </c>
      <c r="I4" s="613">
        <v>6.99</v>
      </c>
      <c r="J4" s="613">
        <v>5.59</v>
      </c>
      <c r="K4" s="613">
        <v>6.39</v>
      </c>
      <c r="L4" s="464"/>
      <c r="M4" s="613"/>
      <c r="N4" s="464">
        <f>AVERAGE(F4:M4)</f>
        <v>7.1533333333333333</v>
      </c>
      <c r="O4" s="464">
        <f>MEDIAN(F4:M4)</f>
        <v>6.6899999999999995</v>
      </c>
      <c r="P4" s="465">
        <f>SMALL(N4:O4,1)</f>
        <v>6.6899999999999995</v>
      </c>
      <c r="Q4" s="465">
        <f>P4*$E4</f>
        <v>1672.4999999999998</v>
      </c>
      <c r="R4" s="466"/>
      <c r="S4" s="466">
        <f t="shared" ref="S4:S15" si="0">R4*E4</f>
        <v>0</v>
      </c>
      <c r="T4" s="467" t="str">
        <f>IF(R4&gt;P4,"Errado","Ok")</f>
        <v>Ok</v>
      </c>
      <c r="W4" s="490"/>
    </row>
    <row r="5" spans="2:24" ht="20.25" customHeight="1">
      <c r="B5" s="471">
        <f>B4+1</f>
        <v>2</v>
      </c>
      <c r="C5" s="762" t="s">
        <v>1265</v>
      </c>
      <c r="D5" s="471" t="s">
        <v>889</v>
      </c>
      <c r="E5" s="463">
        <v>30</v>
      </c>
      <c r="F5" s="468">
        <v>6.34</v>
      </c>
      <c r="G5" s="613">
        <v>45.2</v>
      </c>
      <c r="H5" s="464">
        <v>8.9</v>
      </c>
      <c r="I5" s="613">
        <v>12.5</v>
      </c>
      <c r="J5" s="613">
        <v>3.99</v>
      </c>
      <c r="K5" s="613">
        <v>12.79</v>
      </c>
      <c r="L5" s="464"/>
      <c r="M5" s="613"/>
      <c r="N5" s="464">
        <f t="shared" ref="N5:N49" si="1">AVERAGE(F5:M5)</f>
        <v>14.953333333333333</v>
      </c>
      <c r="O5" s="464">
        <f t="shared" ref="O5:O49" si="2">MEDIAN(F5:M5)</f>
        <v>10.7</v>
      </c>
      <c r="P5" s="465">
        <f t="shared" ref="P5:P49" si="3">SMALL(N5:O5,1)</f>
        <v>10.7</v>
      </c>
      <c r="Q5" s="465">
        <f t="shared" ref="Q5:Q49" si="4">P5*$E5</f>
        <v>321</v>
      </c>
      <c r="R5" s="466"/>
      <c r="S5" s="466">
        <f t="shared" si="0"/>
        <v>0</v>
      </c>
      <c r="T5" s="467" t="str">
        <f t="shared" ref="T5:T49" si="5">IF(R5&gt;P5,"Errado","Ok")</f>
        <v>Ok</v>
      </c>
      <c r="W5" s="490"/>
    </row>
    <row r="6" spans="2:24" ht="20.25" customHeight="1">
      <c r="B6" s="471">
        <f t="shared" ref="B6:B47" si="6">B5+1</f>
        <v>3</v>
      </c>
      <c r="C6" s="762" t="s">
        <v>1117</v>
      </c>
      <c r="D6" s="471" t="s">
        <v>889</v>
      </c>
      <c r="E6" s="463">
        <v>50</v>
      </c>
      <c r="F6" s="468">
        <v>2.6</v>
      </c>
      <c r="G6" s="613">
        <v>18</v>
      </c>
      <c r="H6" s="464">
        <v>6.99</v>
      </c>
      <c r="I6" s="613">
        <v>2.89</v>
      </c>
      <c r="J6" s="613">
        <v>2.09</v>
      </c>
      <c r="K6" s="613">
        <v>2.89</v>
      </c>
      <c r="L6" s="464"/>
      <c r="M6" s="613"/>
      <c r="N6" s="464">
        <f t="shared" si="1"/>
        <v>5.910000000000001</v>
      </c>
      <c r="O6" s="464">
        <f t="shared" si="2"/>
        <v>2.89</v>
      </c>
      <c r="P6" s="465">
        <f t="shared" si="3"/>
        <v>2.89</v>
      </c>
      <c r="Q6" s="465">
        <f t="shared" si="4"/>
        <v>144.5</v>
      </c>
      <c r="R6" s="466"/>
      <c r="S6" s="466">
        <f t="shared" si="0"/>
        <v>0</v>
      </c>
      <c r="T6" s="467" t="str">
        <f t="shared" si="5"/>
        <v>Ok</v>
      </c>
      <c r="W6" s="490"/>
    </row>
    <row r="7" spans="2:24" ht="38.25" customHeight="1">
      <c r="B7" s="471">
        <f t="shared" si="6"/>
        <v>4</v>
      </c>
      <c r="C7" s="762" t="s">
        <v>1327</v>
      </c>
      <c r="D7" s="471" t="s">
        <v>1118</v>
      </c>
      <c r="E7" s="463">
        <v>20</v>
      </c>
      <c r="F7" s="468">
        <v>2.7</v>
      </c>
      <c r="G7" s="613">
        <v>12.64</v>
      </c>
      <c r="H7" s="464">
        <v>6.1</v>
      </c>
      <c r="I7" s="613">
        <v>4.99</v>
      </c>
      <c r="J7" s="613">
        <v>5.49</v>
      </c>
      <c r="K7" s="613">
        <v>5.62</v>
      </c>
      <c r="L7" s="464"/>
      <c r="M7" s="613"/>
      <c r="N7" s="464">
        <f t="shared" si="1"/>
        <v>6.2566666666666668</v>
      </c>
      <c r="O7" s="464">
        <f t="shared" si="2"/>
        <v>5.5549999999999997</v>
      </c>
      <c r="P7" s="465">
        <f t="shared" si="3"/>
        <v>5.5549999999999997</v>
      </c>
      <c r="Q7" s="465">
        <f t="shared" si="4"/>
        <v>111.1</v>
      </c>
      <c r="R7" s="466"/>
      <c r="S7" s="466">
        <f t="shared" si="0"/>
        <v>0</v>
      </c>
      <c r="T7" s="467" t="str">
        <f t="shared" si="5"/>
        <v>Ok</v>
      </c>
      <c r="W7" s="490"/>
    </row>
    <row r="8" spans="2:24" ht="38.25" customHeight="1">
      <c r="B8" s="471">
        <f t="shared" si="6"/>
        <v>5</v>
      </c>
      <c r="C8" s="762" t="s">
        <v>1328</v>
      </c>
      <c r="D8" s="471" t="s">
        <v>1118</v>
      </c>
      <c r="E8" s="463">
        <v>20</v>
      </c>
      <c r="F8" s="468">
        <v>3.16</v>
      </c>
      <c r="G8" s="613">
        <v>9.39</v>
      </c>
      <c r="H8" s="464">
        <v>5.2</v>
      </c>
      <c r="I8" s="613">
        <v>6.99</v>
      </c>
      <c r="J8" s="613">
        <v>12.95</v>
      </c>
      <c r="K8" s="613">
        <v>4.1900000000000004</v>
      </c>
      <c r="L8" s="464"/>
      <c r="M8" s="613"/>
      <c r="N8" s="464">
        <f t="shared" si="1"/>
        <v>6.9799999999999995</v>
      </c>
      <c r="O8" s="464">
        <f t="shared" si="2"/>
        <v>6.0950000000000006</v>
      </c>
      <c r="P8" s="465">
        <f t="shared" si="3"/>
        <v>6.0950000000000006</v>
      </c>
      <c r="Q8" s="465">
        <f t="shared" si="4"/>
        <v>121.9</v>
      </c>
      <c r="R8" s="466"/>
      <c r="S8" s="466">
        <f t="shared" si="0"/>
        <v>0</v>
      </c>
      <c r="T8" s="467" t="str">
        <f t="shared" si="5"/>
        <v>Ok</v>
      </c>
      <c r="W8" s="490"/>
    </row>
    <row r="9" spans="2:24" ht="38.25" customHeight="1">
      <c r="B9" s="471">
        <f t="shared" si="6"/>
        <v>6</v>
      </c>
      <c r="C9" s="762" t="s">
        <v>1329</v>
      </c>
      <c r="D9" s="471" t="s">
        <v>1118</v>
      </c>
      <c r="E9" s="463">
        <v>12</v>
      </c>
      <c r="F9" s="468">
        <v>8.44</v>
      </c>
      <c r="G9" s="613">
        <v>9.6300000000000008</v>
      </c>
      <c r="H9" s="464">
        <v>10.119999999999999</v>
      </c>
      <c r="I9" s="613">
        <v>6.99</v>
      </c>
      <c r="J9" s="613">
        <v>6.79</v>
      </c>
      <c r="K9" s="613">
        <v>7.69</v>
      </c>
      <c r="L9" s="464"/>
      <c r="M9" s="613"/>
      <c r="N9" s="464">
        <f t="shared" si="1"/>
        <v>8.2766666666666655</v>
      </c>
      <c r="O9" s="464">
        <f t="shared" si="2"/>
        <v>8.0649999999999995</v>
      </c>
      <c r="P9" s="465">
        <f t="shared" si="3"/>
        <v>8.0649999999999995</v>
      </c>
      <c r="Q9" s="465">
        <f t="shared" si="4"/>
        <v>96.78</v>
      </c>
      <c r="R9" s="466"/>
      <c r="S9" s="466">
        <f t="shared" si="0"/>
        <v>0</v>
      </c>
      <c r="T9" s="467" t="str">
        <f t="shared" si="5"/>
        <v>Ok</v>
      </c>
      <c r="W9" s="490"/>
    </row>
    <row r="10" spans="2:24" ht="38.25" customHeight="1">
      <c r="B10" s="471">
        <f t="shared" si="6"/>
        <v>7</v>
      </c>
      <c r="C10" s="762" t="s">
        <v>1330</v>
      </c>
      <c r="D10" s="471" t="s">
        <v>1118</v>
      </c>
      <c r="E10" s="463">
        <v>20</v>
      </c>
      <c r="F10" s="468">
        <v>3.5</v>
      </c>
      <c r="G10" s="613">
        <v>11.41</v>
      </c>
      <c r="H10" s="464">
        <v>13.8</v>
      </c>
      <c r="I10" s="613">
        <v>6.49</v>
      </c>
      <c r="J10" s="613">
        <v>9.85</v>
      </c>
      <c r="K10" s="613">
        <v>5.89</v>
      </c>
      <c r="L10" s="464"/>
      <c r="M10" s="613"/>
      <c r="N10" s="464">
        <f t="shared" si="1"/>
        <v>8.49</v>
      </c>
      <c r="O10" s="464">
        <f t="shared" si="2"/>
        <v>8.17</v>
      </c>
      <c r="P10" s="465">
        <f t="shared" si="3"/>
        <v>8.17</v>
      </c>
      <c r="Q10" s="465">
        <f t="shared" si="4"/>
        <v>163.4</v>
      </c>
      <c r="R10" s="466"/>
      <c r="S10" s="466">
        <f t="shared" si="0"/>
        <v>0</v>
      </c>
      <c r="T10" s="467" t="str">
        <f t="shared" si="5"/>
        <v>Ok</v>
      </c>
      <c r="W10" s="490"/>
    </row>
    <row r="11" spans="2:24" ht="70.5" customHeight="1">
      <c r="B11" s="471">
        <f t="shared" si="6"/>
        <v>8</v>
      </c>
      <c r="C11" s="762" t="s">
        <v>1331</v>
      </c>
      <c r="D11" s="471" t="s">
        <v>889</v>
      </c>
      <c r="E11" s="463">
        <v>600</v>
      </c>
      <c r="F11" s="468">
        <v>16.62</v>
      </c>
      <c r="G11" s="613">
        <v>55</v>
      </c>
      <c r="H11" s="464">
        <v>26</v>
      </c>
      <c r="I11" s="613">
        <f>22.99*2</f>
        <v>45.98</v>
      </c>
      <c r="J11" s="613">
        <f>16.45*2</f>
        <v>32.9</v>
      </c>
      <c r="K11" s="613">
        <f>22.99*2</f>
        <v>45.98</v>
      </c>
      <c r="L11" s="464"/>
      <c r="M11" s="613"/>
      <c r="N11" s="464">
        <f t="shared" si="1"/>
        <v>37.08</v>
      </c>
      <c r="O11" s="464">
        <f t="shared" si="2"/>
        <v>39.44</v>
      </c>
      <c r="P11" s="465">
        <f t="shared" si="3"/>
        <v>37.08</v>
      </c>
      <c r="Q11" s="465">
        <f t="shared" si="4"/>
        <v>22248</v>
      </c>
      <c r="R11" s="466"/>
      <c r="S11" s="466">
        <f t="shared" si="0"/>
        <v>0</v>
      </c>
      <c r="T11" s="467" t="str">
        <f t="shared" si="5"/>
        <v>Ok</v>
      </c>
      <c r="W11" s="490"/>
    </row>
    <row r="12" spans="2:24" ht="38.25" customHeight="1">
      <c r="B12" s="471">
        <f t="shared" si="6"/>
        <v>9</v>
      </c>
      <c r="C12" s="762" t="s">
        <v>1332</v>
      </c>
      <c r="D12" s="471" t="s">
        <v>1119</v>
      </c>
      <c r="E12" s="463">
        <v>100</v>
      </c>
      <c r="F12" s="468">
        <v>3.95</v>
      </c>
      <c r="G12" s="613">
        <v>19.559999999999999</v>
      </c>
      <c r="H12" s="464">
        <v>12.9</v>
      </c>
      <c r="I12" s="613">
        <v>15.99</v>
      </c>
      <c r="J12" s="613">
        <v>3.99</v>
      </c>
      <c r="K12" s="613">
        <v>13.79</v>
      </c>
      <c r="L12" s="464"/>
      <c r="M12" s="613"/>
      <c r="N12" s="464">
        <f t="shared" si="1"/>
        <v>11.696666666666667</v>
      </c>
      <c r="O12" s="464">
        <f t="shared" si="2"/>
        <v>13.344999999999999</v>
      </c>
      <c r="P12" s="465">
        <f t="shared" si="3"/>
        <v>11.696666666666667</v>
      </c>
      <c r="Q12" s="465">
        <f t="shared" si="4"/>
        <v>1169.6666666666667</v>
      </c>
      <c r="R12" s="466"/>
      <c r="S12" s="466">
        <f t="shared" si="0"/>
        <v>0</v>
      </c>
      <c r="T12" s="467" t="str">
        <f t="shared" si="5"/>
        <v>Ok</v>
      </c>
      <c r="W12" s="490"/>
    </row>
    <row r="13" spans="2:24" ht="20.25" customHeight="1">
      <c r="B13" s="471">
        <f t="shared" si="6"/>
        <v>10</v>
      </c>
      <c r="C13" s="762" t="s">
        <v>1120</v>
      </c>
      <c r="D13" s="471" t="s">
        <v>889</v>
      </c>
      <c r="E13" s="463">
        <v>10</v>
      </c>
      <c r="F13" s="468">
        <v>9.35</v>
      </c>
      <c r="G13" s="613">
        <v>12.59</v>
      </c>
      <c r="H13" s="464">
        <v>15.9</v>
      </c>
      <c r="I13" s="613">
        <v>8.49</v>
      </c>
      <c r="J13" s="613"/>
      <c r="K13" s="613"/>
      <c r="L13" s="464">
        <v>18.329999999999998</v>
      </c>
      <c r="M13" s="613">
        <v>6.55</v>
      </c>
      <c r="N13" s="464">
        <f t="shared" si="1"/>
        <v>11.868333333333332</v>
      </c>
      <c r="O13" s="464">
        <f t="shared" si="2"/>
        <v>10.969999999999999</v>
      </c>
      <c r="P13" s="465">
        <f t="shared" si="3"/>
        <v>10.969999999999999</v>
      </c>
      <c r="Q13" s="465">
        <f t="shared" si="4"/>
        <v>109.69999999999999</v>
      </c>
      <c r="R13" s="466"/>
      <c r="S13" s="466">
        <f t="shared" si="0"/>
        <v>0</v>
      </c>
      <c r="T13" s="467" t="str">
        <f t="shared" si="5"/>
        <v>Ok</v>
      </c>
      <c r="W13" s="490"/>
      <c r="X13">
        <f>46/2</f>
        <v>23</v>
      </c>
    </row>
    <row r="14" spans="2:24" ht="20.25" customHeight="1">
      <c r="B14" s="471">
        <f t="shared" si="6"/>
        <v>11</v>
      </c>
      <c r="C14" s="762" t="s">
        <v>1121</v>
      </c>
      <c r="D14" s="471" t="s">
        <v>889</v>
      </c>
      <c r="E14" s="463">
        <v>3</v>
      </c>
      <c r="F14" s="468">
        <v>4.16</v>
      </c>
      <c r="G14" s="613">
        <v>8.09</v>
      </c>
      <c r="H14" s="464">
        <v>5.9</v>
      </c>
      <c r="I14" s="613"/>
      <c r="J14" s="613">
        <v>9.69</v>
      </c>
      <c r="K14" s="613"/>
      <c r="L14" s="464">
        <v>2.6</v>
      </c>
      <c r="M14" s="613">
        <v>1.9</v>
      </c>
      <c r="N14" s="464">
        <f t="shared" si="1"/>
        <v>5.39</v>
      </c>
      <c r="O14" s="464">
        <f t="shared" si="2"/>
        <v>5.03</v>
      </c>
      <c r="P14" s="465">
        <f t="shared" si="3"/>
        <v>5.03</v>
      </c>
      <c r="Q14" s="465">
        <f t="shared" si="4"/>
        <v>15.09</v>
      </c>
      <c r="R14" s="466"/>
      <c r="S14" s="466">
        <f t="shared" si="0"/>
        <v>0</v>
      </c>
      <c r="T14" s="467" t="str">
        <f t="shared" si="5"/>
        <v>Ok</v>
      </c>
      <c r="W14" s="490"/>
    </row>
    <row r="15" spans="2:24" ht="20.25" customHeight="1">
      <c r="B15" s="471">
        <f t="shared" si="6"/>
        <v>12</v>
      </c>
      <c r="C15" s="762" t="s">
        <v>1122</v>
      </c>
      <c r="D15" s="471" t="s">
        <v>889</v>
      </c>
      <c r="E15" s="463">
        <v>2</v>
      </c>
      <c r="F15" s="468"/>
      <c r="G15" s="613">
        <v>9.73</v>
      </c>
      <c r="H15" s="464">
        <v>5.6</v>
      </c>
      <c r="I15" s="613"/>
      <c r="J15" s="613"/>
      <c r="K15" s="613"/>
      <c r="L15" s="464">
        <v>2.72</v>
      </c>
      <c r="M15" s="613">
        <v>2.85</v>
      </c>
      <c r="N15" s="464">
        <f t="shared" si="1"/>
        <v>5.2250000000000005</v>
      </c>
      <c r="O15" s="464">
        <f t="shared" si="2"/>
        <v>4.2249999999999996</v>
      </c>
      <c r="P15" s="465">
        <f t="shared" si="3"/>
        <v>4.2249999999999996</v>
      </c>
      <c r="Q15" s="465">
        <f t="shared" si="4"/>
        <v>8.4499999999999993</v>
      </c>
      <c r="R15" s="466"/>
      <c r="S15" s="466">
        <f t="shared" si="0"/>
        <v>0</v>
      </c>
      <c r="T15" s="467"/>
      <c r="W15" s="490"/>
    </row>
    <row r="16" spans="2:24" ht="20.25" customHeight="1">
      <c r="B16" s="471">
        <f t="shared" si="6"/>
        <v>13</v>
      </c>
      <c r="C16" s="762" t="s">
        <v>1123</v>
      </c>
      <c r="D16" s="471" t="s">
        <v>1119</v>
      </c>
      <c r="E16" s="463">
        <v>12</v>
      </c>
      <c r="F16" s="468">
        <v>32.200000000000003</v>
      </c>
      <c r="G16" s="613">
        <v>45.12</v>
      </c>
      <c r="H16" s="464">
        <v>156</v>
      </c>
      <c r="I16" s="613"/>
      <c r="J16" s="613">
        <v>4.99</v>
      </c>
      <c r="K16" s="613"/>
      <c r="L16" s="464">
        <v>7.11</v>
      </c>
      <c r="M16" s="613">
        <v>5.42</v>
      </c>
      <c r="N16" s="464">
        <f t="shared" si="1"/>
        <v>41.806666666666665</v>
      </c>
      <c r="O16" s="464">
        <f t="shared" si="2"/>
        <v>19.655000000000001</v>
      </c>
      <c r="P16" s="465">
        <f t="shared" si="3"/>
        <v>19.655000000000001</v>
      </c>
      <c r="Q16" s="465">
        <f t="shared" si="4"/>
        <v>235.86</v>
      </c>
      <c r="R16" s="466"/>
      <c r="S16" s="466">
        <f t="shared" ref="S16:S42" si="7">R16*E16</f>
        <v>0</v>
      </c>
      <c r="T16" s="467" t="str">
        <f t="shared" si="5"/>
        <v>Ok</v>
      </c>
      <c r="W16" s="490"/>
    </row>
    <row r="17" spans="1:23" ht="20.25" customHeight="1">
      <c r="B17" s="471">
        <f t="shared" si="6"/>
        <v>14</v>
      </c>
      <c r="C17" s="762" t="s">
        <v>1333</v>
      </c>
      <c r="D17" s="471" t="s">
        <v>1118</v>
      </c>
      <c r="E17" s="463">
        <v>500</v>
      </c>
      <c r="F17" s="468">
        <v>3.64</v>
      </c>
      <c r="G17" s="613">
        <v>26.05</v>
      </c>
      <c r="H17" s="464">
        <v>10.9</v>
      </c>
      <c r="I17" s="613">
        <v>10.49</v>
      </c>
      <c r="J17" s="613">
        <v>4.79</v>
      </c>
      <c r="K17" s="613">
        <v>14.99</v>
      </c>
      <c r="L17" s="464"/>
      <c r="M17" s="613"/>
      <c r="N17" s="464">
        <f t="shared" si="1"/>
        <v>11.81</v>
      </c>
      <c r="O17" s="464">
        <f t="shared" si="2"/>
        <v>10.695</v>
      </c>
      <c r="P17" s="465">
        <f t="shared" si="3"/>
        <v>10.695</v>
      </c>
      <c r="Q17" s="465">
        <f t="shared" si="4"/>
        <v>5347.5</v>
      </c>
      <c r="R17" s="466"/>
      <c r="S17" s="466">
        <f t="shared" si="7"/>
        <v>0</v>
      </c>
      <c r="T17" s="467" t="str">
        <f t="shared" si="5"/>
        <v>Ok</v>
      </c>
      <c r="W17" s="490"/>
    </row>
    <row r="18" spans="1:23" ht="20.25" customHeight="1">
      <c r="B18" s="471">
        <f t="shared" si="6"/>
        <v>15</v>
      </c>
      <c r="C18" s="762" t="s">
        <v>1334</v>
      </c>
      <c r="D18" s="471" t="s">
        <v>1118</v>
      </c>
      <c r="E18" s="463">
        <v>50</v>
      </c>
      <c r="F18" s="468">
        <v>2.89</v>
      </c>
      <c r="G18" s="613">
        <v>31.9</v>
      </c>
      <c r="H18" s="464">
        <v>7.89</v>
      </c>
      <c r="I18" s="613">
        <v>3.99</v>
      </c>
      <c r="J18" s="613">
        <v>2.99</v>
      </c>
      <c r="K18" s="613">
        <v>3.29</v>
      </c>
      <c r="L18" s="464"/>
      <c r="M18" s="613"/>
      <c r="N18" s="464">
        <f t="shared" si="1"/>
        <v>8.8250000000000011</v>
      </c>
      <c r="O18" s="464">
        <f t="shared" si="2"/>
        <v>3.64</v>
      </c>
      <c r="P18" s="465">
        <f t="shared" si="3"/>
        <v>3.64</v>
      </c>
      <c r="Q18" s="465">
        <f t="shared" si="4"/>
        <v>182</v>
      </c>
      <c r="R18" s="466"/>
      <c r="S18" s="466">
        <f t="shared" si="7"/>
        <v>0</v>
      </c>
      <c r="T18" s="467" t="str">
        <f t="shared" si="5"/>
        <v>Ok</v>
      </c>
      <c r="W18" s="490"/>
    </row>
    <row r="19" spans="1:23" ht="41.25" customHeight="1">
      <c r="B19" s="471">
        <f t="shared" si="6"/>
        <v>16</v>
      </c>
      <c r="C19" s="762" t="s">
        <v>1335</v>
      </c>
      <c r="D19" s="471" t="s">
        <v>889</v>
      </c>
      <c r="E19" s="463">
        <v>70</v>
      </c>
      <c r="F19" s="468">
        <v>2.0299999999999998</v>
      </c>
      <c r="G19" s="613">
        <v>5.8</v>
      </c>
      <c r="H19" s="464">
        <v>4.5</v>
      </c>
      <c r="I19" s="613">
        <v>2.99</v>
      </c>
      <c r="J19" s="613">
        <v>2.15</v>
      </c>
      <c r="K19" s="613">
        <v>2.29</v>
      </c>
      <c r="L19" s="464"/>
      <c r="M19" s="613"/>
      <c r="N19" s="464">
        <f t="shared" si="1"/>
        <v>3.293333333333333</v>
      </c>
      <c r="O19" s="464">
        <f t="shared" si="2"/>
        <v>2.64</v>
      </c>
      <c r="P19" s="465">
        <f t="shared" si="3"/>
        <v>2.64</v>
      </c>
      <c r="Q19" s="465">
        <f t="shared" si="4"/>
        <v>184.8</v>
      </c>
      <c r="R19" s="466"/>
      <c r="S19" s="466">
        <f t="shared" si="7"/>
        <v>0</v>
      </c>
      <c r="T19" s="467" t="str">
        <f t="shared" si="5"/>
        <v>Ok</v>
      </c>
      <c r="W19" s="490"/>
    </row>
    <row r="20" spans="1:23" ht="41.25" customHeight="1">
      <c r="B20" s="471">
        <f t="shared" si="6"/>
        <v>17</v>
      </c>
      <c r="C20" s="762" t="s">
        <v>1336</v>
      </c>
      <c r="D20" s="471" t="s">
        <v>1118</v>
      </c>
      <c r="E20" s="463">
        <v>11</v>
      </c>
      <c r="F20" s="468">
        <v>2</v>
      </c>
      <c r="G20" s="613">
        <v>7.9</v>
      </c>
      <c r="H20" s="464">
        <v>15.5</v>
      </c>
      <c r="I20" s="613">
        <v>2.99</v>
      </c>
      <c r="J20" s="613">
        <v>2.29</v>
      </c>
      <c r="K20" s="613">
        <v>2.4900000000000002</v>
      </c>
      <c r="L20" s="464"/>
      <c r="M20" s="613"/>
      <c r="N20" s="464">
        <f t="shared" si="1"/>
        <v>5.5283333333333333</v>
      </c>
      <c r="O20" s="464">
        <f t="shared" si="2"/>
        <v>2.74</v>
      </c>
      <c r="P20" s="465">
        <f t="shared" si="3"/>
        <v>2.74</v>
      </c>
      <c r="Q20" s="465">
        <f t="shared" si="4"/>
        <v>30.14</v>
      </c>
      <c r="R20" s="466"/>
      <c r="S20" s="466">
        <f t="shared" si="7"/>
        <v>0</v>
      </c>
      <c r="T20" s="467" t="str">
        <f t="shared" si="5"/>
        <v>Ok</v>
      </c>
      <c r="W20" s="490"/>
    </row>
    <row r="21" spans="1:23" ht="41.25" customHeight="1">
      <c r="B21" s="471">
        <f t="shared" si="6"/>
        <v>18</v>
      </c>
      <c r="C21" s="762" t="s">
        <v>1337</v>
      </c>
      <c r="D21" s="471" t="s">
        <v>889</v>
      </c>
      <c r="E21" s="463">
        <v>50</v>
      </c>
      <c r="F21" s="468">
        <v>0.68</v>
      </c>
      <c r="G21" s="613">
        <v>11.62</v>
      </c>
      <c r="H21" s="464">
        <v>1.54</v>
      </c>
      <c r="I21" s="613">
        <v>7.99</v>
      </c>
      <c r="J21" s="613">
        <v>2.89</v>
      </c>
      <c r="K21" s="613">
        <v>7.09</v>
      </c>
      <c r="L21" s="464"/>
      <c r="M21" s="613"/>
      <c r="N21" s="464">
        <f t="shared" si="1"/>
        <v>5.3016666666666667</v>
      </c>
      <c r="O21" s="464">
        <f t="shared" si="2"/>
        <v>4.99</v>
      </c>
      <c r="P21" s="465">
        <f t="shared" si="3"/>
        <v>4.99</v>
      </c>
      <c r="Q21" s="465">
        <f t="shared" si="4"/>
        <v>249.5</v>
      </c>
      <c r="R21" s="466"/>
      <c r="S21" s="466">
        <f t="shared" si="7"/>
        <v>0</v>
      </c>
      <c r="T21" s="467" t="str">
        <f t="shared" si="5"/>
        <v>Ok</v>
      </c>
      <c r="W21" s="490"/>
    </row>
    <row r="22" spans="1:23" ht="28.5" customHeight="1">
      <c r="B22" s="471">
        <f t="shared" si="6"/>
        <v>19</v>
      </c>
      <c r="C22" s="762" t="s">
        <v>1338</v>
      </c>
      <c r="D22" s="471" t="s">
        <v>889</v>
      </c>
      <c r="E22" s="463">
        <v>20</v>
      </c>
      <c r="F22" s="468">
        <v>2.83</v>
      </c>
      <c r="G22" s="613">
        <v>7.9</v>
      </c>
      <c r="H22" s="464">
        <v>5.23</v>
      </c>
      <c r="I22" s="613">
        <v>10.49</v>
      </c>
      <c r="J22" s="613">
        <v>4.09</v>
      </c>
      <c r="K22" s="613"/>
      <c r="L22" s="464"/>
      <c r="M22" s="613"/>
      <c r="N22" s="464">
        <f t="shared" si="1"/>
        <v>6.1080000000000005</v>
      </c>
      <c r="O22" s="464">
        <f t="shared" si="2"/>
        <v>5.23</v>
      </c>
      <c r="P22" s="465">
        <f t="shared" si="3"/>
        <v>5.23</v>
      </c>
      <c r="Q22" s="465">
        <f t="shared" si="4"/>
        <v>104.60000000000001</v>
      </c>
      <c r="R22" s="466"/>
      <c r="S22" s="466">
        <f t="shared" si="7"/>
        <v>0</v>
      </c>
      <c r="T22" s="467" t="str">
        <f t="shared" si="5"/>
        <v>Ok</v>
      </c>
      <c r="W22" s="490"/>
    </row>
    <row r="23" spans="1:23" ht="27" customHeight="1">
      <c r="B23" s="471">
        <f t="shared" si="6"/>
        <v>20</v>
      </c>
      <c r="C23" s="762" t="s">
        <v>1124</v>
      </c>
      <c r="D23" s="471" t="s">
        <v>889</v>
      </c>
      <c r="E23" s="463">
        <v>25</v>
      </c>
      <c r="F23" s="468">
        <v>4.05</v>
      </c>
      <c r="G23" s="613">
        <v>15.96</v>
      </c>
      <c r="H23" s="464">
        <v>6.89</v>
      </c>
      <c r="I23" s="613">
        <v>13.99</v>
      </c>
      <c r="J23" s="613">
        <v>3.99</v>
      </c>
      <c r="K23" s="613">
        <v>14.99</v>
      </c>
      <c r="L23" s="464"/>
      <c r="M23" s="613"/>
      <c r="N23" s="464">
        <f t="shared" si="1"/>
        <v>9.9783333333333335</v>
      </c>
      <c r="O23" s="464">
        <f t="shared" si="2"/>
        <v>10.44</v>
      </c>
      <c r="P23" s="465">
        <f t="shared" si="3"/>
        <v>9.9783333333333335</v>
      </c>
      <c r="Q23" s="465">
        <f t="shared" si="4"/>
        <v>249.45833333333334</v>
      </c>
      <c r="R23" s="466"/>
      <c r="S23" s="466">
        <f t="shared" si="7"/>
        <v>0</v>
      </c>
      <c r="T23" s="467" t="str">
        <f t="shared" si="5"/>
        <v>Ok</v>
      </c>
      <c r="W23" s="490"/>
    </row>
    <row r="24" spans="1:23" ht="35.25" customHeight="1">
      <c r="B24" s="471">
        <f t="shared" si="6"/>
        <v>21</v>
      </c>
      <c r="C24" s="762" t="s">
        <v>1125</v>
      </c>
      <c r="D24" s="471" t="s">
        <v>1118</v>
      </c>
      <c r="E24" s="463">
        <v>30</v>
      </c>
      <c r="F24" s="468">
        <v>2.08</v>
      </c>
      <c r="G24" s="613">
        <v>8.9600000000000009</v>
      </c>
      <c r="H24" s="464">
        <v>12.58</v>
      </c>
      <c r="I24" s="613">
        <v>7.99</v>
      </c>
      <c r="J24" s="613">
        <v>2.79</v>
      </c>
      <c r="K24" s="613">
        <v>3.29</v>
      </c>
      <c r="L24" s="464"/>
      <c r="M24" s="613"/>
      <c r="N24" s="464">
        <f t="shared" si="1"/>
        <v>6.2816666666666663</v>
      </c>
      <c r="O24" s="464">
        <f t="shared" si="2"/>
        <v>5.6400000000000006</v>
      </c>
      <c r="P24" s="465">
        <f t="shared" si="3"/>
        <v>5.6400000000000006</v>
      </c>
      <c r="Q24" s="465">
        <f t="shared" si="4"/>
        <v>169.20000000000002</v>
      </c>
      <c r="R24" s="466"/>
      <c r="S24" s="466">
        <f t="shared" si="7"/>
        <v>0</v>
      </c>
      <c r="T24" s="467" t="str">
        <f t="shared" si="5"/>
        <v>Ok</v>
      </c>
      <c r="W24" s="490"/>
    </row>
    <row r="25" spans="1:23" ht="35.25" customHeight="1">
      <c r="A25" s="764"/>
      <c r="B25" s="471">
        <f t="shared" si="6"/>
        <v>22</v>
      </c>
      <c r="C25" s="762" t="s">
        <v>1126</v>
      </c>
      <c r="D25" s="471" t="s">
        <v>889</v>
      </c>
      <c r="E25" s="463">
        <v>2</v>
      </c>
      <c r="F25" s="468">
        <v>109.08</v>
      </c>
      <c r="G25" s="613">
        <v>68.56</v>
      </c>
      <c r="H25" s="464">
        <v>123</v>
      </c>
      <c r="I25" s="613"/>
      <c r="J25" s="613"/>
      <c r="K25" s="613"/>
      <c r="L25" s="464">
        <v>138.96</v>
      </c>
      <c r="M25" s="613">
        <v>130.63</v>
      </c>
      <c r="N25" s="464">
        <f t="shared" si="1"/>
        <v>114.04600000000001</v>
      </c>
      <c r="O25" s="464">
        <f t="shared" si="2"/>
        <v>123</v>
      </c>
      <c r="P25" s="465">
        <f t="shared" si="3"/>
        <v>114.04600000000001</v>
      </c>
      <c r="Q25" s="465">
        <f t="shared" si="4"/>
        <v>228.09200000000001</v>
      </c>
      <c r="R25" s="466"/>
      <c r="S25" s="466">
        <f t="shared" si="7"/>
        <v>0</v>
      </c>
      <c r="T25" s="467" t="str">
        <f t="shared" si="5"/>
        <v>Ok</v>
      </c>
      <c r="W25" s="490"/>
    </row>
    <row r="26" spans="1:23" ht="35.25" customHeight="1">
      <c r="B26" s="471">
        <f t="shared" si="6"/>
        <v>23</v>
      </c>
      <c r="C26" s="762" t="s">
        <v>1339</v>
      </c>
      <c r="D26" s="471" t="s">
        <v>889</v>
      </c>
      <c r="E26" s="463">
        <v>30</v>
      </c>
      <c r="F26" s="468">
        <v>16.62</v>
      </c>
      <c r="G26" s="613">
        <v>34.9</v>
      </c>
      <c r="H26" s="464">
        <v>19.600000000000001</v>
      </c>
      <c r="I26" s="613">
        <v>23.99</v>
      </c>
      <c r="J26" s="613">
        <v>14.95</v>
      </c>
      <c r="K26" s="613">
        <v>23.89</v>
      </c>
      <c r="L26" s="464"/>
      <c r="M26" s="613"/>
      <c r="N26" s="464">
        <f t="shared" si="1"/>
        <v>22.324999999999999</v>
      </c>
      <c r="O26" s="464">
        <f t="shared" si="2"/>
        <v>21.745000000000001</v>
      </c>
      <c r="P26" s="465">
        <f t="shared" si="3"/>
        <v>21.745000000000001</v>
      </c>
      <c r="Q26" s="465">
        <f t="shared" si="4"/>
        <v>652.35</v>
      </c>
      <c r="R26" s="466"/>
      <c r="S26" s="466">
        <f t="shared" si="7"/>
        <v>0</v>
      </c>
      <c r="T26" s="467" t="str">
        <f t="shared" si="5"/>
        <v>Ok</v>
      </c>
      <c r="W26" s="490"/>
    </row>
    <row r="27" spans="1:23" ht="35.25" customHeight="1">
      <c r="B27" s="471">
        <f t="shared" si="6"/>
        <v>24</v>
      </c>
      <c r="C27" s="762" t="s">
        <v>1127</v>
      </c>
      <c r="D27" s="471" t="s">
        <v>889</v>
      </c>
      <c r="E27" s="463">
        <v>20</v>
      </c>
      <c r="F27" s="468">
        <v>3.99</v>
      </c>
      <c r="G27" s="613">
        <v>10.83</v>
      </c>
      <c r="H27" s="464">
        <v>8.69</v>
      </c>
      <c r="I27" s="613">
        <v>8.5</v>
      </c>
      <c r="J27" s="613">
        <v>2.99</v>
      </c>
      <c r="K27" s="613">
        <v>9.49</v>
      </c>
      <c r="L27" s="464"/>
      <c r="M27" s="613"/>
      <c r="N27" s="464">
        <f t="shared" si="1"/>
        <v>7.415</v>
      </c>
      <c r="O27" s="464">
        <f t="shared" si="2"/>
        <v>8.5949999999999989</v>
      </c>
      <c r="P27" s="465">
        <f t="shared" si="3"/>
        <v>7.415</v>
      </c>
      <c r="Q27" s="465">
        <f t="shared" si="4"/>
        <v>148.30000000000001</v>
      </c>
      <c r="R27" s="466"/>
      <c r="S27" s="466">
        <f t="shared" si="7"/>
        <v>0</v>
      </c>
      <c r="T27" s="467" t="str">
        <f t="shared" si="5"/>
        <v>Ok</v>
      </c>
      <c r="W27" s="490"/>
    </row>
    <row r="28" spans="1:23" ht="35.25" customHeight="1">
      <c r="B28" s="471">
        <f t="shared" si="6"/>
        <v>25</v>
      </c>
      <c r="C28" s="762" t="s">
        <v>1262</v>
      </c>
      <c r="D28" s="471" t="s">
        <v>889</v>
      </c>
      <c r="E28" s="463">
        <v>20</v>
      </c>
      <c r="F28" s="468">
        <v>4.05</v>
      </c>
      <c r="G28" s="613">
        <v>14.99</v>
      </c>
      <c r="H28" s="464">
        <v>8.9499999999999993</v>
      </c>
      <c r="I28" s="613">
        <v>10.5</v>
      </c>
      <c r="J28" s="613">
        <v>7.99</v>
      </c>
      <c r="K28" s="613">
        <v>7.49</v>
      </c>
      <c r="L28" s="464"/>
      <c r="M28" s="613"/>
      <c r="N28" s="464">
        <f t="shared" si="1"/>
        <v>8.9949999999999992</v>
      </c>
      <c r="O28" s="464">
        <f t="shared" si="2"/>
        <v>8.4699999999999989</v>
      </c>
      <c r="P28" s="465">
        <f t="shared" si="3"/>
        <v>8.4699999999999989</v>
      </c>
      <c r="Q28" s="465">
        <f t="shared" si="4"/>
        <v>169.39999999999998</v>
      </c>
      <c r="R28" s="466"/>
      <c r="S28" s="466">
        <f t="shared" si="7"/>
        <v>0</v>
      </c>
      <c r="T28" s="467" t="str">
        <f t="shared" si="5"/>
        <v>Ok</v>
      </c>
      <c r="W28" s="490"/>
    </row>
    <row r="29" spans="1:23" ht="35.25" customHeight="1">
      <c r="B29" s="471">
        <f t="shared" si="6"/>
        <v>26</v>
      </c>
      <c r="C29" s="762" t="s">
        <v>1340</v>
      </c>
      <c r="D29" s="471" t="s">
        <v>1118</v>
      </c>
      <c r="E29" s="463">
        <v>16</v>
      </c>
      <c r="F29" s="468">
        <v>13.5</v>
      </c>
      <c r="G29" s="613">
        <v>42.99</v>
      </c>
      <c r="H29" s="464">
        <v>19.920000000000002</v>
      </c>
      <c r="I29" s="613">
        <v>53.99</v>
      </c>
      <c r="J29" s="613">
        <v>13.9</v>
      </c>
      <c r="K29" s="613">
        <v>32.99</v>
      </c>
      <c r="L29" s="464"/>
      <c r="M29" s="613"/>
      <c r="N29" s="464">
        <f t="shared" si="1"/>
        <v>29.548333333333336</v>
      </c>
      <c r="O29" s="464">
        <f t="shared" si="2"/>
        <v>26.455000000000002</v>
      </c>
      <c r="P29" s="465">
        <f t="shared" si="3"/>
        <v>26.455000000000002</v>
      </c>
      <c r="Q29" s="465">
        <f t="shared" si="4"/>
        <v>423.28000000000003</v>
      </c>
      <c r="R29" s="466"/>
      <c r="S29" s="466">
        <f t="shared" si="7"/>
        <v>0</v>
      </c>
      <c r="T29" s="467" t="str">
        <f t="shared" si="5"/>
        <v>Ok</v>
      </c>
      <c r="W29" s="490"/>
    </row>
    <row r="30" spans="1:23" ht="35.25" customHeight="1">
      <c r="B30" s="471">
        <f t="shared" si="6"/>
        <v>27</v>
      </c>
      <c r="C30" s="762" t="s">
        <v>1128</v>
      </c>
      <c r="D30" s="471" t="s">
        <v>1129</v>
      </c>
      <c r="E30" s="463">
        <v>50</v>
      </c>
      <c r="F30" s="468">
        <v>14.54</v>
      </c>
      <c r="G30" s="613">
        <v>58.9</v>
      </c>
      <c r="H30" s="464">
        <v>180</v>
      </c>
      <c r="I30" s="613">
        <v>16.989999999999998</v>
      </c>
      <c r="J30" s="613">
        <v>25.9</v>
      </c>
      <c r="K30" s="613">
        <v>11.6</v>
      </c>
      <c r="L30" s="464"/>
      <c r="M30" s="613"/>
      <c r="N30" s="464">
        <f t="shared" si="1"/>
        <v>51.321666666666665</v>
      </c>
      <c r="O30" s="464">
        <f t="shared" si="2"/>
        <v>21.445</v>
      </c>
      <c r="P30" s="465">
        <f t="shared" si="3"/>
        <v>21.445</v>
      </c>
      <c r="Q30" s="465">
        <f t="shared" si="4"/>
        <v>1072.25</v>
      </c>
      <c r="R30" s="466"/>
      <c r="S30" s="466">
        <f t="shared" si="7"/>
        <v>0</v>
      </c>
      <c r="T30" s="467" t="str">
        <f t="shared" si="5"/>
        <v>Ok</v>
      </c>
      <c r="W30" s="490"/>
    </row>
    <row r="31" spans="1:23" ht="20.25" customHeight="1">
      <c r="B31" s="471">
        <f t="shared" si="6"/>
        <v>28</v>
      </c>
      <c r="C31" s="762" t="s">
        <v>1130</v>
      </c>
      <c r="D31" s="471" t="s">
        <v>1131</v>
      </c>
      <c r="E31" s="463">
        <v>2</v>
      </c>
      <c r="F31" s="468">
        <v>218.16</v>
      </c>
      <c r="G31" s="613">
        <v>789.65</v>
      </c>
      <c r="H31" s="464">
        <v>97.8</v>
      </c>
      <c r="I31" s="613"/>
      <c r="J31" s="613">
        <v>14.19</v>
      </c>
      <c r="K31" s="613"/>
      <c r="L31" s="464"/>
      <c r="M31" s="613"/>
      <c r="N31" s="464">
        <f t="shared" si="1"/>
        <v>279.95</v>
      </c>
      <c r="O31" s="464">
        <f t="shared" si="2"/>
        <v>157.97999999999999</v>
      </c>
      <c r="P31" s="465">
        <f t="shared" si="3"/>
        <v>157.97999999999999</v>
      </c>
      <c r="Q31" s="465">
        <f t="shared" si="4"/>
        <v>315.95999999999998</v>
      </c>
      <c r="R31" s="466"/>
      <c r="S31" s="466">
        <f t="shared" si="7"/>
        <v>0</v>
      </c>
      <c r="T31" s="467" t="str">
        <f t="shared" si="5"/>
        <v>Ok</v>
      </c>
      <c r="W31" s="490"/>
    </row>
    <row r="32" spans="1:23" ht="20.25" customHeight="1">
      <c r="B32" s="471">
        <f t="shared" si="6"/>
        <v>29</v>
      </c>
      <c r="C32" s="762" t="s">
        <v>1132</v>
      </c>
      <c r="D32" s="471" t="s">
        <v>1131</v>
      </c>
      <c r="E32" s="463">
        <v>2</v>
      </c>
      <c r="F32" s="468">
        <v>399.95</v>
      </c>
      <c r="G32" s="613">
        <v>750.62</v>
      </c>
      <c r="H32" s="464">
        <v>260</v>
      </c>
      <c r="I32" s="613"/>
      <c r="J32" s="613"/>
      <c r="K32" s="613"/>
      <c r="L32" s="464"/>
      <c r="M32" s="613">
        <v>69.069999999999993</v>
      </c>
      <c r="N32" s="464">
        <f t="shared" si="1"/>
        <v>369.90999999999997</v>
      </c>
      <c r="O32" s="464">
        <f t="shared" si="2"/>
        <v>329.97500000000002</v>
      </c>
      <c r="P32" s="465">
        <f t="shared" si="3"/>
        <v>329.97500000000002</v>
      </c>
      <c r="Q32" s="465">
        <f t="shared" si="4"/>
        <v>659.95</v>
      </c>
      <c r="R32" s="466"/>
      <c r="S32" s="466">
        <f t="shared" si="7"/>
        <v>0</v>
      </c>
      <c r="T32" s="467" t="str">
        <f t="shared" si="5"/>
        <v>Ok</v>
      </c>
      <c r="W32" s="490"/>
    </row>
    <row r="33" spans="2:23" ht="40.5" customHeight="1">
      <c r="B33" s="471">
        <f t="shared" si="6"/>
        <v>30</v>
      </c>
      <c r="C33" s="762" t="s">
        <v>1341</v>
      </c>
      <c r="D33" s="471" t="s">
        <v>889</v>
      </c>
      <c r="E33" s="463">
        <v>40</v>
      </c>
      <c r="F33" s="468">
        <v>6.23</v>
      </c>
      <c r="G33" s="613">
        <v>16.89</v>
      </c>
      <c r="H33" s="464">
        <v>12</v>
      </c>
      <c r="I33" s="613">
        <v>8.49</v>
      </c>
      <c r="J33" s="613">
        <v>7.79</v>
      </c>
      <c r="K33" s="613">
        <v>8.7899999999999991</v>
      </c>
      <c r="L33" s="464"/>
      <c r="M33" s="613"/>
      <c r="N33" s="464">
        <f t="shared" si="1"/>
        <v>10.031666666666668</v>
      </c>
      <c r="O33" s="464">
        <f t="shared" si="2"/>
        <v>8.64</v>
      </c>
      <c r="P33" s="465">
        <f t="shared" si="3"/>
        <v>8.64</v>
      </c>
      <c r="Q33" s="465">
        <f t="shared" si="4"/>
        <v>345.6</v>
      </c>
      <c r="R33" s="466"/>
      <c r="S33" s="466">
        <f t="shared" si="7"/>
        <v>0</v>
      </c>
      <c r="T33" s="467" t="str">
        <f t="shared" si="5"/>
        <v>Ok</v>
      </c>
      <c r="W33" s="490"/>
    </row>
    <row r="34" spans="2:23" ht="40.5" customHeight="1">
      <c r="B34" s="471">
        <f t="shared" si="6"/>
        <v>31</v>
      </c>
      <c r="C34" s="762" t="s">
        <v>1342</v>
      </c>
      <c r="D34" s="471" t="s">
        <v>889</v>
      </c>
      <c r="E34" s="463">
        <v>30</v>
      </c>
      <c r="F34" s="468">
        <v>2.29</v>
      </c>
      <c r="G34" s="613">
        <v>9.1199999999999992</v>
      </c>
      <c r="H34" s="464">
        <v>6.9</v>
      </c>
      <c r="I34" s="613">
        <v>3.49</v>
      </c>
      <c r="J34" s="613">
        <v>2.59</v>
      </c>
      <c r="K34" s="613">
        <v>2.89</v>
      </c>
      <c r="L34" s="464"/>
      <c r="M34" s="613"/>
      <c r="N34" s="464">
        <f t="shared" si="1"/>
        <v>4.5466666666666677</v>
      </c>
      <c r="O34" s="464">
        <f t="shared" si="2"/>
        <v>3.1900000000000004</v>
      </c>
      <c r="P34" s="465">
        <f t="shared" si="3"/>
        <v>3.1900000000000004</v>
      </c>
      <c r="Q34" s="465">
        <f t="shared" si="4"/>
        <v>95.700000000000017</v>
      </c>
      <c r="R34" s="466"/>
      <c r="S34" s="466">
        <f t="shared" si="7"/>
        <v>0</v>
      </c>
      <c r="T34" s="467" t="str">
        <f t="shared" si="5"/>
        <v>Ok</v>
      </c>
      <c r="W34" s="490"/>
    </row>
    <row r="35" spans="2:23" ht="40.5" customHeight="1">
      <c r="B35" s="471">
        <f t="shared" si="6"/>
        <v>32</v>
      </c>
      <c r="C35" s="762" t="s">
        <v>1343</v>
      </c>
      <c r="D35" s="471" t="s">
        <v>889</v>
      </c>
      <c r="E35" s="463">
        <v>40</v>
      </c>
      <c r="F35" s="468">
        <v>5.91</v>
      </c>
      <c r="G35" s="613">
        <v>15.78</v>
      </c>
      <c r="H35" s="464">
        <v>10.9</v>
      </c>
      <c r="I35" s="613">
        <v>7.99</v>
      </c>
      <c r="J35" s="613">
        <v>6.79</v>
      </c>
      <c r="K35" s="613">
        <v>5.99</v>
      </c>
      <c r="L35" s="464"/>
      <c r="M35" s="613"/>
      <c r="N35" s="464">
        <f t="shared" si="1"/>
        <v>8.8933333333333326</v>
      </c>
      <c r="O35" s="464">
        <f t="shared" si="2"/>
        <v>7.3900000000000006</v>
      </c>
      <c r="P35" s="465">
        <f t="shared" si="3"/>
        <v>7.3900000000000006</v>
      </c>
      <c r="Q35" s="465">
        <f t="shared" si="4"/>
        <v>295.60000000000002</v>
      </c>
      <c r="R35" s="466"/>
      <c r="S35" s="466">
        <f t="shared" si="7"/>
        <v>0</v>
      </c>
      <c r="T35" s="467" t="str">
        <f t="shared" si="5"/>
        <v>Ok</v>
      </c>
      <c r="W35" s="490"/>
    </row>
    <row r="36" spans="2:23" ht="40.5" customHeight="1">
      <c r="B36" s="471">
        <f t="shared" si="6"/>
        <v>33</v>
      </c>
      <c r="C36" s="762" t="s">
        <v>1344</v>
      </c>
      <c r="D36" s="471" t="s">
        <v>889</v>
      </c>
      <c r="E36" s="463">
        <v>30</v>
      </c>
      <c r="F36" s="468">
        <v>2.29</v>
      </c>
      <c r="G36" s="613">
        <v>8.8800000000000008</v>
      </c>
      <c r="H36" s="464">
        <v>5.56</v>
      </c>
      <c r="I36" s="613">
        <v>2.59</v>
      </c>
      <c r="J36" s="613">
        <v>2.69</v>
      </c>
      <c r="K36" s="613">
        <v>2.59</v>
      </c>
      <c r="L36" s="464"/>
      <c r="M36" s="613"/>
      <c r="N36" s="464">
        <f t="shared" si="1"/>
        <v>4.1000000000000005</v>
      </c>
      <c r="O36" s="464">
        <f t="shared" si="2"/>
        <v>2.6399999999999997</v>
      </c>
      <c r="P36" s="465">
        <f t="shared" si="3"/>
        <v>2.6399999999999997</v>
      </c>
      <c r="Q36" s="465">
        <f t="shared" si="4"/>
        <v>79.199999999999989</v>
      </c>
      <c r="R36" s="466"/>
      <c r="S36" s="466">
        <f t="shared" si="7"/>
        <v>0</v>
      </c>
      <c r="T36" s="467" t="str">
        <f t="shared" si="5"/>
        <v>Ok</v>
      </c>
      <c r="W36" s="490"/>
    </row>
    <row r="37" spans="2:23" ht="40.5" customHeight="1">
      <c r="B37" s="471">
        <f t="shared" si="6"/>
        <v>34</v>
      </c>
      <c r="C37" s="762" t="s">
        <v>1345</v>
      </c>
      <c r="D37" s="471" t="s">
        <v>1118</v>
      </c>
      <c r="E37" s="463">
        <v>7</v>
      </c>
      <c r="F37" s="468">
        <v>5.26</v>
      </c>
      <c r="G37" s="613">
        <v>20</v>
      </c>
      <c r="H37" s="464">
        <v>19.5</v>
      </c>
      <c r="I37" s="613">
        <v>11.99</v>
      </c>
      <c r="J37" s="613">
        <v>5.9</v>
      </c>
      <c r="K37" s="613">
        <v>18.29</v>
      </c>
      <c r="L37" s="464"/>
      <c r="M37" s="613"/>
      <c r="N37" s="464">
        <f t="shared" si="1"/>
        <v>13.49</v>
      </c>
      <c r="O37" s="464">
        <f t="shared" si="2"/>
        <v>15.14</v>
      </c>
      <c r="P37" s="465">
        <f t="shared" si="3"/>
        <v>13.49</v>
      </c>
      <c r="Q37" s="465">
        <f t="shared" si="4"/>
        <v>94.43</v>
      </c>
      <c r="R37" s="466"/>
      <c r="S37" s="466">
        <f t="shared" si="7"/>
        <v>0</v>
      </c>
      <c r="T37" s="467" t="str">
        <f t="shared" si="5"/>
        <v>Ok</v>
      </c>
      <c r="W37" s="490"/>
    </row>
    <row r="38" spans="2:23" ht="40.5" customHeight="1">
      <c r="B38" s="471">
        <f t="shared" si="6"/>
        <v>35</v>
      </c>
      <c r="C38" s="762" t="s">
        <v>1346</v>
      </c>
      <c r="D38" s="471" t="s">
        <v>1118</v>
      </c>
      <c r="E38" s="463">
        <v>14</v>
      </c>
      <c r="F38" s="468">
        <v>5.55</v>
      </c>
      <c r="G38" s="613">
        <v>15.8</v>
      </c>
      <c r="H38" s="464">
        <v>22</v>
      </c>
      <c r="I38" s="613">
        <v>11.99</v>
      </c>
      <c r="J38" s="613">
        <v>13.45</v>
      </c>
      <c r="K38" s="613">
        <v>11.99</v>
      </c>
      <c r="L38" s="464"/>
      <c r="M38" s="613"/>
      <c r="N38" s="464">
        <f t="shared" si="1"/>
        <v>13.463333333333333</v>
      </c>
      <c r="O38" s="464">
        <f t="shared" si="2"/>
        <v>12.719999999999999</v>
      </c>
      <c r="P38" s="465">
        <f t="shared" si="3"/>
        <v>12.719999999999999</v>
      </c>
      <c r="Q38" s="465">
        <f t="shared" si="4"/>
        <v>178.07999999999998</v>
      </c>
      <c r="R38" s="466"/>
      <c r="S38" s="466">
        <f t="shared" si="7"/>
        <v>0</v>
      </c>
      <c r="T38" s="467" t="str">
        <f t="shared" si="5"/>
        <v>Ok</v>
      </c>
      <c r="W38" s="490"/>
    </row>
    <row r="39" spans="2:23" ht="40.5" customHeight="1">
      <c r="B39" s="471">
        <f t="shared" si="6"/>
        <v>36</v>
      </c>
      <c r="C39" s="762" t="s">
        <v>1347</v>
      </c>
      <c r="D39" s="471" t="s">
        <v>889</v>
      </c>
      <c r="E39" s="463">
        <v>5</v>
      </c>
      <c r="F39" s="468">
        <v>4.72</v>
      </c>
      <c r="G39" s="613">
        <v>20.89</v>
      </c>
      <c r="H39" s="464">
        <v>26.9</v>
      </c>
      <c r="I39" s="613"/>
      <c r="J39" s="613">
        <v>8.4499999999999993</v>
      </c>
      <c r="K39" s="613">
        <v>18.989999999999998</v>
      </c>
      <c r="L39" s="464"/>
      <c r="M39" s="613"/>
      <c r="N39" s="464">
        <f t="shared" si="1"/>
        <v>15.989999999999998</v>
      </c>
      <c r="O39" s="464">
        <f t="shared" si="2"/>
        <v>18.989999999999998</v>
      </c>
      <c r="P39" s="465">
        <f t="shared" si="3"/>
        <v>15.989999999999998</v>
      </c>
      <c r="Q39" s="465">
        <f t="shared" si="4"/>
        <v>79.949999999999989</v>
      </c>
      <c r="R39" s="466"/>
      <c r="S39" s="466">
        <f t="shared" si="7"/>
        <v>0</v>
      </c>
      <c r="T39" s="467" t="str">
        <f t="shared" si="5"/>
        <v>Ok</v>
      </c>
      <c r="W39" s="490"/>
    </row>
    <row r="40" spans="2:23" ht="40.5" customHeight="1">
      <c r="B40" s="471">
        <f t="shared" si="6"/>
        <v>37</v>
      </c>
      <c r="C40" s="762" t="s">
        <v>1348</v>
      </c>
      <c r="D40" s="471" t="s">
        <v>1119</v>
      </c>
      <c r="E40" s="463">
        <v>60</v>
      </c>
      <c r="F40" s="468">
        <v>4.5199999999999996</v>
      </c>
      <c r="G40" s="613">
        <v>20.99</v>
      </c>
      <c r="H40" s="464">
        <v>9.8000000000000007</v>
      </c>
      <c r="I40" s="613">
        <v>8.99</v>
      </c>
      <c r="J40" s="613">
        <v>5.99</v>
      </c>
      <c r="K40" s="613">
        <v>6.99</v>
      </c>
      <c r="L40" s="464"/>
      <c r="M40" s="613"/>
      <c r="N40" s="464">
        <f t="shared" si="1"/>
        <v>9.5466666666666686</v>
      </c>
      <c r="O40" s="464">
        <f t="shared" si="2"/>
        <v>7.99</v>
      </c>
      <c r="P40" s="465">
        <f t="shared" si="3"/>
        <v>7.99</v>
      </c>
      <c r="Q40" s="465">
        <f t="shared" si="4"/>
        <v>479.40000000000003</v>
      </c>
      <c r="R40" s="466"/>
      <c r="S40" s="466">
        <f t="shared" si="7"/>
        <v>0</v>
      </c>
      <c r="T40" s="467" t="str">
        <f t="shared" si="5"/>
        <v>Ok</v>
      </c>
      <c r="W40" s="490"/>
    </row>
    <row r="41" spans="2:23" ht="20.25" customHeight="1">
      <c r="B41" s="471">
        <f t="shared" si="6"/>
        <v>38</v>
      </c>
      <c r="C41" s="762" t="s">
        <v>1133</v>
      </c>
      <c r="D41" s="471" t="s">
        <v>1131</v>
      </c>
      <c r="E41" s="463">
        <v>3</v>
      </c>
      <c r="F41" s="468">
        <v>270.10000000000002</v>
      </c>
      <c r="G41" s="613">
        <v>78.66</v>
      </c>
      <c r="H41" s="464">
        <v>12.9</v>
      </c>
      <c r="I41" s="613"/>
      <c r="J41" s="613"/>
      <c r="K41" s="613"/>
      <c r="L41" s="464"/>
      <c r="M41" s="613">
        <v>40.380000000000003</v>
      </c>
      <c r="N41" s="464">
        <f t="shared" si="1"/>
        <v>100.50999999999999</v>
      </c>
      <c r="O41" s="464">
        <f t="shared" si="2"/>
        <v>59.519999999999996</v>
      </c>
      <c r="P41" s="465">
        <f t="shared" si="3"/>
        <v>59.519999999999996</v>
      </c>
      <c r="Q41" s="465">
        <f t="shared" si="4"/>
        <v>178.56</v>
      </c>
      <c r="R41" s="466"/>
      <c r="S41" s="466">
        <f t="shared" si="7"/>
        <v>0</v>
      </c>
      <c r="T41" s="467" t="str">
        <f t="shared" si="5"/>
        <v>Ok</v>
      </c>
      <c r="W41" s="490"/>
    </row>
    <row r="42" spans="2:23" ht="20.25" customHeight="1">
      <c r="B42" s="471">
        <f t="shared" si="6"/>
        <v>39</v>
      </c>
      <c r="C42" s="762" t="s">
        <v>1134</v>
      </c>
      <c r="D42" s="471" t="s">
        <v>1131</v>
      </c>
      <c r="E42" s="463">
        <v>2</v>
      </c>
      <c r="F42" s="468">
        <v>477.87</v>
      </c>
      <c r="G42" s="613">
        <v>88.24</v>
      </c>
      <c r="H42" s="464">
        <v>13.99</v>
      </c>
      <c r="I42" s="613"/>
      <c r="J42" s="613"/>
      <c r="K42" s="613"/>
      <c r="L42" s="464">
        <v>44.42</v>
      </c>
      <c r="M42" s="613"/>
      <c r="N42" s="464">
        <f t="shared" si="1"/>
        <v>156.13</v>
      </c>
      <c r="O42" s="464">
        <f t="shared" si="2"/>
        <v>66.33</v>
      </c>
      <c r="P42" s="465">
        <f t="shared" si="3"/>
        <v>66.33</v>
      </c>
      <c r="Q42" s="465">
        <f t="shared" si="4"/>
        <v>132.66</v>
      </c>
      <c r="R42" s="466"/>
      <c r="S42" s="466">
        <f t="shared" si="7"/>
        <v>0</v>
      </c>
      <c r="T42" s="467" t="str">
        <f t="shared" si="5"/>
        <v>Ok</v>
      </c>
      <c r="W42" s="490"/>
    </row>
    <row r="43" spans="2:23" ht="20.25" customHeight="1">
      <c r="B43" s="471">
        <f t="shared" si="6"/>
        <v>40</v>
      </c>
      <c r="C43" s="762" t="s">
        <v>1135</v>
      </c>
      <c r="D43" s="471" t="s">
        <v>889</v>
      </c>
      <c r="E43" s="463">
        <v>2</v>
      </c>
      <c r="F43" s="468">
        <v>0</v>
      </c>
      <c r="G43" s="613">
        <v>142.63</v>
      </c>
      <c r="H43" s="464">
        <v>96</v>
      </c>
      <c r="I43" s="613"/>
      <c r="J43" s="613"/>
      <c r="K43" s="613"/>
      <c r="L43" s="464">
        <v>70.33</v>
      </c>
      <c r="M43" s="613">
        <v>50.26</v>
      </c>
      <c r="N43" s="464">
        <f t="shared" si="1"/>
        <v>71.843999999999994</v>
      </c>
      <c r="O43" s="464">
        <f t="shared" si="2"/>
        <v>70.33</v>
      </c>
      <c r="P43" s="465">
        <f t="shared" si="3"/>
        <v>70.33</v>
      </c>
      <c r="Q43" s="465">
        <f t="shared" si="4"/>
        <v>140.66</v>
      </c>
      <c r="R43" s="466"/>
      <c r="S43" s="466">
        <f t="shared" ref="S43:S49" si="8">R43*E43</f>
        <v>0</v>
      </c>
      <c r="T43" s="467" t="str">
        <f t="shared" si="5"/>
        <v>Ok</v>
      </c>
      <c r="W43" s="490"/>
    </row>
    <row r="44" spans="2:23" ht="20.25" customHeight="1">
      <c r="B44" s="471">
        <f t="shared" si="6"/>
        <v>41</v>
      </c>
      <c r="C44" s="762" t="s">
        <v>1136</v>
      </c>
      <c r="D44" s="471" t="s">
        <v>889</v>
      </c>
      <c r="E44" s="463">
        <v>2</v>
      </c>
      <c r="F44" s="468">
        <v>0</v>
      </c>
      <c r="G44" s="613">
        <v>125.63</v>
      </c>
      <c r="H44" s="464">
        <v>25.96</v>
      </c>
      <c r="I44" s="613"/>
      <c r="J44" s="613"/>
      <c r="K44" s="613"/>
      <c r="L44" s="464">
        <v>33.520000000000003</v>
      </c>
      <c r="M44" s="613">
        <v>50.83</v>
      </c>
      <c r="N44" s="464">
        <f t="shared" si="1"/>
        <v>47.188000000000002</v>
      </c>
      <c r="O44" s="464">
        <f t="shared" si="2"/>
        <v>33.520000000000003</v>
      </c>
      <c r="P44" s="465">
        <f t="shared" si="3"/>
        <v>33.520000000000003</v>
      </c>
      <c r="Q44" s="465">
        <f t="shared" si="4"/>
        <v>67.040000000000006</v>
      </c>
      <c r="R44" s="466"/>
      <c r="S44" s="466">
        <f t="shared" si="8"/>
        <v>0</v>
      </c>
      <c r="T44" s="467" t="str">
        <f t="shared" si="5"/>
        <v>Ok</v>
      </c>
      <c r="W44" s="490"/>
    </row>
    <row r="45" spans="2:23" ht="20.25" customHeight="1">
      <c r="B45" s="471">
        <f t="shared" si="6"/>
        <v>42</v>
      </c>
      <c r="C45" s="762" t="s">
        <v>1137</v>
      </c>
      <c r="D45" s="471" t="s">
        <v>889</v>
      </c>
      <c r="E45" s="463">
        <v>2</v>
      </c>
      <c r="F45" s="468">
        <v>0</v>
      </c>
      <c r="G45" s="613">
        <v>250.49</v>
      </c>
      <c r="H45" s="464">
        <v>253</v>
      </c>
      <c r="I45" s="613">
        <v>186.99</v>
      </c>
      <c r="J45" s="613">
        <v>79.900000000000006</v>
      </c>
      <c r="K45" s="613"/>
      <c r="L45" s="464">
        <v>192.21</v>
      </c>
      <c r="M45" s="613">
        <v>134.9</v>
      </c>
      <c r="N45" s="464">
        <f t="shared" si="1"/>
        <v>156.78428571428572</v>
      </c>
      <c r="O45" s="464">
        <f t="shared" si="2"/>
        <v>186.99</v>
      </c>
      <c r="P45" s="465">
        <f t="shared" si="3"/>
        <v>156.78428571428572</v>
      </c>
      <c r="Q45" s="465">
        <f t="shared" si="4"/>
        <v>313.56857142857143</v>
      </c>
      <c r="R45" s="466"/>
      <c r="S45" s="466">
        <f t="shared" si="8"/>
        <v>0</v>
      </c>
      <c r="T45" s="467" t="str">
        <f t="shared" si="5"/>
        <v>Ok</v>
      </c>
      <c r="W45" s="490"/>
    </row>
    <row r="46" spans="2:23" ht="20.25" customHeight="1">
      <c r="B46" s="471">
        <f t="shared" si="6"/>
        <v>43</v>
      </c>
      <c r="C46" s="762" t="s">
        <v>1138</v>
      </c>
      <c r="D46" s="471" t="s">
        <v>889</v>
      </c>
      <c r="E46" s="463">
        <v>2</v>
      </c>
      <c r="F46" s="468">
        <v>0</v>
      </c>
      <c r="G46" s="613">
        <v>75.8</v>
      </c>
      <c r="H46" s="464">
        <v>5</v>
      </c>
      <c r="I46" s="613"/>
      <c r="J46" s="613"/>
      <c r="K46" s="613"/>
      <c r="L46" s="464">
        <v>8.75</v>
      </c>
      <c r="M46" s="613">
        <v>51.68</v>
      </c>
      <c r="N46" s="464">
        <f t="shared" si="1"/>
        <v>28.245999999999999</v>
      </c>
      <c r="O46" s="464">
        <f t="shared" si="2"/>
        <v>8.75</v>
      </c>
      <c r="P46" s="465">
        <f t="shared" si="3"/>
        <v>8.75</v>
      </c>
      <c r="Q46" s="465">
        <f t="shared" si="4"/>
        <v>17.5</v>
      </c>
      <c r="R46" s="466"/>
      <c r="S46" s="466">
        <f t="shared" si="8"/>
        <v>0</v>
      </c>
      <c r="T46" s="467" t="str">
        <f t="shared" si="5"/>
        <v>Ok</v>
      </c>
      <c r="W46" s="490"/>
    </row>
    <row r="47" spans="2:23" ht="20.25" customHeight="1">
      <c r="B47" s="471">
        <f t="shared" si="6"/>
        <v>44</v>
      </c>
      <c r="C47" s="762" t="s">
        <v>1139</v>
      </c>
      <c r="D47" s="471" t="s">
        <v>889</v>
      </c>
      <c r="E47" s="463">
        <v>2</v>
      </c>
      <c r="F47" s="468">
        <v>0</v>
      </c>
      <c r="G47" s="613">
        <v>21.6</v>
      </c>
      <c r="H47" s="464">
        <v>5.9</v>
      </c>
      <c r="I47" s="613">
        <v>11.99</v>
      </c>
      <c r="J47" s="613"/>
      <c r="K47" s="613"/>
      <c r="L47" s="464">
        <v>5.59</v>
      </c>
      <c r="M47" s="613">
        <v>15.87</v>
      </c>
      <c r="N47" s="464">
        <f t="shared" si="1"/>
        <v>10.158333333333333</v>
      </c>
      <c r="O47" s="464">
        <f t="shared" si="2"/>
        <v>8.9450000000000003</v>
      </c>
      <c r="P47" s="465">
        <f t="shared" si="3"/>
        <v>8.9450000000000003</v>
      </c>
      <c r="Q47" s="465">
        <f t="shared" si="4"/>
        <v>17.89</v>
      </c>
      <c r="R47" s="466"/>
      <c r="S47" s="466">
        <f t="shared" si="8"/>
        <v>0</v>
      </c>
      <c r="T47" s="467" t="str">
        <f t="shared" si="5"/>
        <v>Ok</v>
      </c>
      <c r="W47" s="490"/>
    </row>
    <row r="48" spans="2:23" ht="20.25" customHeight="1">
      <c r="B48" s="471">
        <v>45</v>
      </c>
      <c r="C48" s="762" t="s">
        <v>1263</v>
      </c>
      <c r="D48" s="471" t="s">
        <v>897</v>
      </c>
      <c r="E48" s="463">
        <v>2</v>
      </c>
      <c r="F48" s="468"/>
      <c r="G48" s="613">
        <v>246.31</v>
      </c>
      <c r="H48" s="464">
        <v>150</v>
      </c>
      <c r="I48" s="613"/>
      <c r="J48" s="613"/>
      <c r="K48" s="613"/>
      <c r="L48" s="464"/>
      <c r="M48" s="613">
        <v>89.28</v>
      </c>
      <c r="N48" s="464">
        <f t="shared" si="1"/>
        <v>161.86333333333334</v>
      </c>
      <c r="O48" s="464">
        <f t="shared" si="2"/>
        <v>150</v>
      </c>
      <c r="P48" s="465">
        <f t="shared" si="3"/>
        <v>150</v>
      </c>
      <c r="Q48" s="465">
        <f t="shared" si="4"/>
        <v>300</v>
      </c>
      <c r="R48" s="466"/>
      <c r="S48" s="466">
        <f t="shared" si="8"/>
        <v>0</v>
      </c>
      <c r="T48" s="467" t="str">
        <f t="shared" si="5"/>
        <v>Ok</v>
      </c>
      <c r="W48" s="490"/>
    </row>
    <row r="49" spans="2:27" ht="20.25" customHeight="1">
      <c r="B49" s="471">
        <v>46</v>
      </c>
      <c r="C49" s="762" t="s">
        <v>1264</v>
      </c>
      <c r="D49" s="471" t="s">
        <v>897</v>
      </c>
      <c r="E49" s="463">
        <v>2</v>
      </c>
      <c r="F49" s="468"/>
      <c r="G49" s="613">
        <v>193.9</v>
      </c>
      <c r="H49" s="464">
        <v>150</v>
      </c>
      <c r="I49" s="613"/>
      <c r="J49" s="613"/>
      <c r="K49" s="613"/>
      <c r="L49" s="464"/>
      <c r="M49" s="613">
        <v>229.52</v>
      </c>
      <c r="N49" s="464">
        <f t="shared" si="1"/>
        <v>191.14</v>
      </c>
      <c r="O49" s="464">
        <f t="shared" si="2"/>
        <v>193.9</v>
      </c>
      <c r="P49" s="465">
        <f t="shared" si="3"/>
        <v>191.14</v>
      </c>
      <c r="Q49" s="465">
        <f t="shared" si="4"/>
        <v>382.28</v>
      </c>
      <c r="R49" s="466"/>
      <c r="S49" s="466">
        <f t="shared" si="8"/>
        <v>0</v>
      </c>
      <c r="T49" s="467" t="str">
        <f t="shared" si="5"/>
        <v>Ok</v>
      </c>
      <c r="W49" s="490"/>
    </row>
    <row r="50" spans="2:27" ht="19.5" customHeight="1">
      <c r="B50" s="829" t="s">
        <v>1140</v>
      </c>
      <c r="C50" s="830"/>
      <c r="D50" s="830"/>
      <c r="E50" s="830"/>
      <c r="F50" s="469"/>
      <c r="G50" s="469"/>
      <c r="H50" s="469"/>
      <c r="I50" s="469"/>
      <c r="J50" s="469"/>
      <c r="K50" s="469"/>
      <c r="L50" s="469"/>
      <c r="M50" s="469"/>
      <c r="N50" s="469"/>
      <c r="O50" s="472"/>
      <c r="P50" s="470"/>
      <c r="Q50" s="473">
        <f>SUM(Q4:Q49)</f>
        <v>39802.845571428559</v>
      </c>
      <c r="R50" s="470"/>
      <c r="S50" s="473">
        <f>SUM(S4:S49)</f>
        <v>0</v>
      </c>
    </row>
    <row r="51" spans="2:27">
      <c r="W51" s="490"/>
    </row>
    <row r="52" spans="2:27">
      <c r="G52" s="490"/>
      <c r="H52" s="490"/>
      <c r="I52" s="490"/>
    </row>
    <row r="53" spans="2:27" ht="25.5" customHeight="1">
      <c r="V53" s="765" t="s">
        <v>48</v>
      </c>
      <c r="W53" s="759"/>
      <c r="X53" s="759"/>
      <c r="Y53" s="759"/>
      <c r="Z53" s="760"/>
      <c r="AA53" s="760"/>
    </row>
    <row r="54" spans="2:27" ht="130.5" customHeight="1">
      <c r="V54" s="761">
        <v>1</v>
      </c>
      <c r="W54" s="825" t="s">
        <v>1322</v>
      </c>
      <c r="X54" s="825"/>
      <c r="Y54" s="825"/>
      <c r="Z54" s="825"/>
      <c r="AA54" s="825"/>
    </row>
    <row r="55" spans="2:27" ht="99.75" customHeight="1">
      <c r="V55" s="761">
        <f>V54+1</f>
        <v>2</v>
      </c>
      <c r="W55" s="825" t="s">
        <v>1323</v>
      </c>
      <c r="X55" s="825"/>
      <c r="Y55" s="825"/>
      <c r="Z55" s="825"/>
      <c r="AA55" s="825"/>
    </row>
    <row r="56" spans="2:27" ht="135.75" customHeight="1">
      <c r="V56" s="761">
        <f t="shared" ref="V56:V58" si="9">V55+1</f>
        <v>3</v>
      </c>
      <c r="W56" s="825" t="s">
        <v>1324</v>
      </c>
      <c r="X56" s="825"/>
      <c r="Y56" s="825"/>
      <c r="Z56" s="825"/>
      <c r="AA56" s="825"/>
    </row>
    <row r="57" spans="2:27" ht="75.75" customHeight="1">
      <c r="V57" s="761">
        <f t="shared" si="9"/>
        <v>4</v>
      </c>
      <c r="W57" s="826" t="s">
        <v>1326</v>
      </c>
      <c r="X57" s="827"/>
      <c r="Y57" s="827"/>
      <c r="Z57" s="827"/>
      <c r="AA57" s="828"/>
    </row>
    <row r="58" spans="2:27" ht="106.5" customHeight="1">
      <c r="V58" s="761">
        <f t="shared" si="9"/>
        <v>5</v>
      </c>
      <c r="W58" s="825" t="s">
        <v>1325</v>
      </c>
      <c r="X58" s="825"/>
      <c r="Y58" s="825"/>
      <c r="Z58" s="825"/>
      <c r="AA58" s="825"/>
    </row>
    <row r="62" spans="2:27" ht="57" customHeight="1"/>
    <row r="70" spans="2:13" ht="15.75">
      <c r="B70" s="616"/>
      <c r="C70" s="617"/>
      <c r="D70" s="616"/>
      <c r="E70" s="617"/>
      <c r="F70" s="618"/>
      <c r="G70" s="618"/>
      <c r="H70" s="618"/>
      <c r="I70" s="618"/>
      <c r="J70" s="618"/>
      <c r="K70" s="618"/>
      <c r="L70" s="618"/>
      <c r="M70" s="618"/>
    </row>
    <row r="71" spans="2:13" ht="15.75">
      <c r="B71" s="616"/>
      <c r="C71" s="617"/>
      <c r="D71" s="616"/>
      <c r="E71" s="617"/>
      <c r="F71" s="618"/>
      <c r="G71" s="618"/>
      <c r="H71" s="618"/>
      <c r="I71" s="618"/>
      <c r="J71" s="618"/>
      <c r="K71" s="618"/>
      <c r="L71" s="618"/>
      <c r="M71" s="618"/>
    </row>
    <row r="72" spans="2:13" ht="15.75">
      <c r="B72" s="616"/>
      <c r="C72" s="617"/>
      <c r="D72" s="616"/>
      <c r="E72" s="617"/>
      <c r="F72" s="618"/>
      <c r="G72" s="618"/>
      <c r="H72" s="618"/>
      <c r="I72" s="618"/>
      <c r="J72" s="618"/>
      <c r="K72" s="618"/>
      <c r="L72" s="618"/>
      <c r="M72" s="618"/>
    </row>
    <row r="73" spans="2:13" ht="15.75">
      <c r="B73" s="616"/>
      <c r="C73" s="617"/>
      <c r="D73" s="616"/>
      <c r="E73" s="617"/>
      <c r="F73" s="618"/>
      <c r="G73" s="618"/>
      <c r="H73" s="618"/>
      <c r="I73" s="618"/>
      <c r="J73" s="618"/>
      <c r="K73" s="618"/>
      <c r="L73" s="618"/>
      <c r="M73" s="618"/>
    </row>
    <row r="74" spans="2:13" ht="15.75">
      <c r="B74" s="616"/>
      <c r="C74" s="617"/>
      <c r="D74" s="616"/>
      <c r="E74" s="617"/>
      <c r="F74" s="618"/>
      <c r="G74" s="618"/>
      <c r="H74" s="618"/>
      <c r="I74" s="618"/>
      <c r="J74" s="618"/>
      <c r="K74" s="618"/>
      <c r="L74" s="618"/>
      <c r="M74" s="618"/>
    </row>
    <row r="75" spans="2:13" ht="15.75">
      <c r="B75" s="616"/>
      <c r="C75" s="617"/>
      <c r="D75" s="616"/>
      <c r="E75" s="617"/>
      <c r="F75" s="618"/>
      <c r="G75" s="618"/>
      <c r="H75" s="618"/>
      <c r="I75" s="618"/>
      <c r="J75" s="618"/>
      <c r="K75" s="618"/>
      <c r="L75" s="618"/>
      <c r="M75" s="618"/>
    </row>
    <row r="76" spans="2:13" ht="15.75">
      <c r="B76" s="616"/>
      <c r="C76" s="617"/>
      <c r="D76" s="616"/>
      <c r="E76" s="617"/>
      <c r="F76" s="618"/>
      <c r="G76" s="618"/>
      <c r="H76" s="618"/>
      <c r="I76" s="618"/>
      <c r="J76" s="618"/>
      <c r="K76" s="618"/>
      <c r="L76" s="618"/>
      <c r="M76" s="618"/>
    </row>
    <row r="77" spans="2:13" ht="15.75">
      <c r="B77" s="616"/>
      <c r="C77" s="617"/>
      <c r="D77" s="616"/>
      <c r="E77" s="617"/>
      <c r="F77" s="618"/>
      <c r="G77" s="618"/>
      <c r="H77" s="618"/>
      <c r="I77" s="618"/>
      <c r="J77" s="618"/>
      <c r="K77" s="618"/>
      <c r="L77" s="618"/>
      <c r="M77" s="618"/>
    </row>
    <row r="78" spans="2:13" ht="15.75">
      <c r="B78" s="616"/>
      <c r="C78" s="617"/>
      <c r="D78" s="616"/>
      <c r="E78" s="617"/>
      <c r="F78" s="618"/>
      <c r="G78" s="618"/>
      <c r="H78" s="618"/>
      <c r="I78" s="618"/>
      <c r="J78" s="618"/>
      <c r="K78" s="618"/>
      <c r="L78" s="618"/>
      <c r="M78" s="618"/>
    </row>
    <row r="79" spans="2:13" ht="15.75">
      <c r="B79" s="616"/>
      <c r="C79" s="617"/>
      <c r="D79" s="616"/>
      <c r="E79" s="617"/>
      <c r="F79" s="618"/>
      <c r="G79" s="618"/>
      <c r="H79" s="618"/>
      <c r="I79" s="618"/>
      <c r="J79" s="618"/>
      <c r="K79" s="618"/>
      <c r="L79" s="618"/>
      <c r="M79" s="618"/>
    </row>
    <row r="80" spans="2:13" ht="15.75">
      <c r="B80" s="616"/>
      <c r="C80" s="617"/>
      <c r="D80" s="616"/>
      <c r="E80" s="617"/>
      <c r="F80" s="618"/>
      <c r="G80" s="618"/>
      <c r="H80" s="618"/>
      <c r="I80" s="618"/>
      <c r="J80" s="618"/>
      <c r="K80" s="618"/>
      <c r="L80" s="618"/>
      <c r="M80" s="618"/>
    </row>
    <row r="81" spans="2:13" ht="15.75">
      <c r="B81" s="616"/>
      <c r="C81" s="617"/>
      <c r="D81" s="616"/>
      <c r="E81" s="617"/>
      <c r="F81" s="618"/>
      <c r="G81" s="618"/>
      <c r="H81" s="618"/>
      <c r="I81" s="618"/>
      <c r="J81" s="618"/>
      <c r="K81" s="618"/>
      <c r="L81" s="618"/>
      <c r="M81" s="618"/>
    </row>
    <row r="82" spans="2:13" ht="15.75">
      <c r="B82" s="616"/>
      <c r="C82" s="617"/>
      <c r="D82" s="616"/>
      <c r="E82" s="617"/>
      <c r="F82" s="618"/>
      <c r="G82" s="618"/>
      <c r="H82" s="618"/>
      <c r="I82" s="618"/>
      <c r="J82" s="618"/>
      <c r="K82" s="618"/>
      <c r="L82" s="618"/>
      <c r="M82" s="618"/>
    </row>
    <row r="83" spans="2:13" ht="15.75">
      <c r="B83" s="616"/>
      <c r="C83" s="617"/>
      <c r="D83" s="616"/>
      <c r="E83" s="617"/>
      <c r="F83" s="618"/>
      <c r="G83" s="618"/>
      <c r="H83" s="618"/>
      <c r="I83" s="618"/>
      <c r="J83" s="618"/>
      <c r="K83" s="618"/>
      <c r="L83" s="618"/>
      <c r="M83" s="618"/>
    </row>
    <row r="84" spans="2:13" ht="15.75">
      <c r="B84" s="616"/>
      <c r="C84" s="617"/>
      <c r="D84" s="616"/>
      <c r="E84" s="617"/>
      <c r="F84" s="618"/>
      <c r="G84" s="618"/>
      <c r="H84" s="618"/>
      <c r="I84" s="618"/>
      <c r="J84" s="618"/>
      <c r="K84" s="618"/>
      <c r="L84" s="618"/>
      <c r="M84" s="618"/>
    </row>
    <row r="85" spans="2:13" ht="15.75">
      <c r="B85" s="616"/>
      <c r="C85" s="617"/>
      <c r="D85" s="616"/>
      <c r="E85" s="617"/>
      <c r="F85" s="618"/>
      <c r="G85" s="618"/>
      <c r="H85" s="618"/>
      <c r="I85" s="618"/>
      <c r="J85" s="618"/>
      <c r="K85" s="618"/>
      <c r="L85" s="618"/>
      <c r="M85" s="618"/>
    </row>
    <row r="86" spans="2:13" ht="15.75">
      <c r="B86" s="616"/>
      <c r="C86" s="617"/>
      <c r="D86" s="616"/>
      <c r="E86" s="617"/>
      <c r="F86" s="618"/>
      <c r="G86" s="618"/>
      <c r="H86" s="618"/>
      <c r="I86" s="618"/>
      <c r="J86" s="618"/>
      <c r="K86" s="618"/>
      <c r="L86" s="618"/>
      <c r="M86" s="618"/>
    </row>
    <row r="87" spans="2:13" ht="15.75">
      <c r="B87" s="616"/>
      <c r="C87" s="617"/>
      <c r="D87" s="616"/>
      <c r="E87" s="617"/>
      <c r="F87" s="618"/>
      <c r="G87" s="618"/>
      <c r="H87" s="618"/>
      <c r="I87" s="618"/>
      <c r="J87" s="618"/>
      <c r="K87" s="618"/>
      <c r="L87" s="618"/>
      <c r="M87" s="618"/>
    </row>
    <row r="88" spans="2:13" ht="15.75">
      <c r="B88" s="616"/>
      <c r="C88" s="617"/>
      <c r="D88" s="616"/>
      <c r="E88" s="617"/>
      <c r="F88" s="618"/>
      <c r="G88" s="618"/>
      <c r="H88" s="618"/>
      <c r="I88" s="618"/>
      <c r="J88" s="618"/>
      <c r="K88" s="618"/>
      <c r="L88" s="618"/>
      <c r="M88" s="618"/>
    </row>
    <row r="89" spans="2:13" ht="15.75">
      <c r="B89" s="616"/>
      <c r="C89" s="617"/>
      <c r="D89" s="616"/>
      <c r="E89" s="617"/>
      <c r="F89" s="618"/>
      <c r="G89" s="618"/>
      <c r="H89" s="618"/>
      <c r="I89" s="618"/>
      <c r="J89" s="618"/>
      <c r="K89" s="618"/>
      <c r="L89" s="618"/>
      <c r="M89" s="618"/>
    </row>
    <row r="90" spans="2:13" ht="15.75">
      <c r="B90" s="616"/>
      <c r="C90" s="617"/>
      <c r="D90" s="616"/>
      <c r="E90" s="617"/>
      <c r="F90" s="618"/>
      <c r="G90" s="618"/>
      <c r="H90" s="618"/>
      <c r="I90" s="618"/>
      <c r="J90" s="618"/>
      <c r="K90" s="618"/>
      <c r="L90" s="618"/>
      <c r="M90" s="618"/>
    </row>
    <row r="91" spans="2:13" ht="15.75">
      <c r="B91" s="616"/>
      <c r="C91" s="617"/>
      <c r="D91" s="616"/>
      <c r="E91" s="617"/>
      <c r="F91" s="618"/>
      <c r="G91" s="618"/>
      <c r="H91" s="618"/>
      <c r="I91" s="618"/>
      <c r="J91" s="618"/>
      <c r="K91" s="618"/>
      <c r="L91" s="618"/>
      <c r="M91" s="618"/>
    </row>
    <row r="92" spans="2:13" ht="15.75">
      <c r="B92" s="616"/>
      <c r="C92" s="617"/>
      <c r="D92" s="616"/>
      <c r="E92" s="617"/>
      <c r="F92" s="618"/>
      <c r="G92" s="618"/>
      <c r="H92" s="618"/>
      <c r="I92" s="618"/>
      <c r="J92" s="618"/>
      <c r="K92" s="618"/>
      <c r="L92" s="618"/>
      <c r="M92" s="618"/>
    </row>
    <row r="93" spans="2:13" ht="15.75">
      <c r="B93" s="616"/>
      <c r="C93" s="617"/>
      <c r="D93" s="616"/>
      <c r="E93" s="617"/>
      <c r="F93" s="618"/>
      <c r="G93" s="618"/>
      <c r="H93" s="618"/>
      <c r="I93" s="618"/>
      <c r="J93" s="618"/>
      <c r="K93" s="618"/>
      <c r="L93" s="618"/>
      <c r="M93" s="618"/>
    </row>
    <row r="94" spans="2:13" ht="15.75">
      <c r="B94" s="616"/>
      <c r="C94" s="617"/>
      <c r="D94" s="616"/>
      <c r="E94" s="617"/>
      <c r="F94" s="618"/>
      <c r="G94" s="618"/>
      <c r="H94" s="618"/>
      <c r="I94" s="618"/>
      <c r="J94" s="618"/>
      <c r="K94" s="618"/>
      <c r="L94" s="618"/>
      <c r="M94" s="618"/>
    </row>
    <row r="95" spans="2:13" ht="15.75">
      <c r="B95" s="616"/>
      <c r="C95" s="617"/>
      <c r="D95" s="616"/>
      <c r="E95" s="617"/>
      <c r="F95" s="618"/>
      <c r="G95" s="618"/>
      <c r="H95" s="618"/>
      <c r="I95" s="618"/>
      <c r="J95" s="618"/>
      <c r="K95" s="618"/>
      <c r="L95" s="618"/>
      <c r="M95" s="618"/>
    </row>
    <row r="96" spans="2:13" ht="15.75">
      <c r="B96" s="616"/>
      <c r="C96" s="617"/>
      <c r="D96" s="616"/>
      <c r="E96" s="617"/>
      <c r="F96" s="618"/>
      <c r="G96" s="618"/>
      <c r="H96" s="618"/>
      <c r="I96" s="618"/>
      <c r="J96" s="618"/>
      <c r="K96" s="618"/>
      <c r="L96" s="618"/>
      <c r="M96" s="618"/>
    </row>
    <row r="97" spans="2:13" ht="15.75">
      <c r="B97" s="616"/>
      <c r="C97" s="617"/>
      <c r="D97" s="616"/>
      <c r="E97" s="617"/>
      <c r="F97" s="618"/>
      <c r="G97" s="618"/>
      <c r="H97" s="618"/>
      <c r="I97" s="618"/>
      <c r="J97" s="618"/>
      <c r="K97" s="618"/>
      <c r="L97" s="618"/>
      <c r="M97" s="618"/>
    </row>
    <row r="98" spans="2:13" ht="15.75">
      <c r="B98" s="616"/>
      <c r="C98" s="617"/>
      <c r="D98" s="616"/>
      <c r="E98" s="617"/>
      <c r="F98" s="618"/>
      <c r="G98" s="618"/>
      <c r="H98" s="618"/>
      <c r="I98" s="618"/>
      <c r="J98" s="618"/>
      <c r="K98" s="618"/>
      <c r="L98" s="618"/>
      <c r="M98" s="618"/>
    </row>
    <row r="99" spans="2:13" ht="15.75">
      <c r="B99" s="616"/>
      <c r="C99" s="617"/>
      <c r="D99" s="616"/>
      <c r="E99" s="617"/>
      <c r="F99" s="618"/>
      <c r="G99" s="618"/>
      <c r="H99" s="618"/>
      <c r="I99" s="618"/>
      <c r="J99" s="618"/>
      <c r="K99" s="618"/>
      <c r="L99" s="618"/>
      <c r="M99" s="618"/>
    </row>
    <row r="100" spans="2:13" ht="15.75">
      <c r="B100" s="616"/>
      <c r="C100" s="617"/>
      <c r="D100" s="616"/>
      <c r="E100" s="617"/>
      <c r="F100" s="618"/>
      <c r="G100" s="618"/>
      <c r="H100" s="618"/>
      <c r="I100" s="618"/>
      <c r="J100" s="618"/>
      <c r="K100" s="618"/>
      <c r="L100" s="618"/>
      <c r="M100" s="618"/>
    </row>
    <row r="101" spans="2:13" ht="15.75">
      <c r="B101" s="616"/>
      <c r="C101" s="617"/>
      <c r="D101" s="616"/>
      <c r="E101" s="617"/>
      <c r="F101" s="618"/>
      <c r="G101" s="618"/>
      <c r="H101" s="618"/>
      <c r="I101" s="618"/>
      <c r="J101" s="618"/>
      <c r="K101" s="618"/>
      <c r="L101" s="618"/>
      <c r="M101" s="618"/>
    </row>
    <row r="102" spans="2:13" ht="15.75">
      <c r="B102" s="616"/>
      <c r="C102" s="617"/>
      <c r="D102" s="616"/>
      <c r="E102" s="617"/>
      <c r="F102" s="618"/>
      <c r="G102" s="618"/>
      <c r="H102" s="618"/>
      <c r="I102" s="618"/>
      <c r="J102" s="618"/>
      <c r="K102" s="618"/>
      <c r="L102" s="618"/>
      <c r="M102" s="618"/>
    </row>
    <row r="103" spans="2:13" ht="15.75">
      <c r="B103" s="616"/>
      <c r="C103" s="617"/>
      <c r="D103" s="616"/>
      <c r="E103" s="617"/>
      <c r="F103" s="618"/>
      <c r="G103" s="618"/>
      <c r="H103" s="618"/>
      <c r="I103" s="618"/>
      <c r="J103" s="618"/>
      <c r="K103" s="618"/>
      <c r="L103" s="618"/>
      <c r="M103" s="618"/>
    </row>
    <row r="104" spans="2:13" ht="15.75">
      <c r="B104" s="616"/>
      <c r="C104" s="617"/>
      <c r="D104" s="616"/>
      <c r="E104" s="617"/>
      <c r="F104" s="618"/>
      <c r="G104" s="618"/>
      <c r="H104" s="618"/>
      <c r="I104" s="618"/>
      <c r="J104" s="618"/>
      <c r="K104" s="618"/>
      <c r="L104" s="618"/>
      <c r="M104" s="618"/>
    </row>
    <row r="105" spans="2:13" ht="15.75">
      <c r="B105" s="616"/>
      <c r="C105" s="617"/>
      <c r="D105" s="616"/>
      <c r="E105" s="617"/>
      <c r="F105" s="618"/>
      <c r="G105" s="618"/>
      <c r="H105" s="618"/>
      <c r="I105" s="618"/>
      <c r="J105" s="618"/>
      <c r="K105" s="618"/>
      <c r="L105" s="618"/>
      <c r="M105" s="618"/>
    </row>
    <row r="106" spans="2:13" ht="15.75">
      <c r="B106" s="616"/>
      <c r="C106" s="617"/>
      <c r="D106" s="616"/>
      <c r="E106" s="617"/>
      <c r="F106" s="618"/>
      <c r="G106" s="618"/>
      <c r="H106" s="618"/>
      <c r="I106" s="618"/>
      <c r="J106" s="618"/>
      <c r="K106" s="618"/>
      <c r="L106" s="618"/>
      <c r="M106" s="618"/>
    </row>
    <row r="107" spans="2:13" ht="15.75">
      <c r="B107" s="616"/>
      <c r="C107" s="617"/>
      <c r="D107" s="616"/>
      <c r="E107" s="617"/>
      <c r="F107" s="618"/>
      <c r="G107" s="618"/>
      <c r="H107" s="618"/>
      <c r="I107" s="618"/>
      <c r="J107" s="618"/>
      <c r="K107" s="618"/>
      <c r="L107" s="618"/>
      <c r="M107" s="618"/>
    </row>
  </sheetData>
  <mergeCells count="11">
    <mergeCell ref="B50:E50"/>
    <mergeCell ref="R1:S1"/>
    <mergeCell ref="B2:D2"/>
    <mergeCell ref="N2:O2"/>
    <mergeCell ref="P2:Q2"/>
    <mergeCell ref="R2:S2"/>
    <mergeCell ref="W54:AA54"/>
    <mergeCell ref="W55:AA55"/>
    <mergeCell ref="W56:AA56"/>
    <mergeCell ref="W57:AA57"/>
    <mergeCell ref="W58:AA58"/>
  </mergeCells>
  <pageMargins left="0.25" right="0.25" top="0.75" bottom="0.75" header="0.3" footer="0.3"/>
  <pageSetup paperSize="9" scale="5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U90"/>
  <sheetViews>
    <sheetView showGridLines="0" topLeftCell="A80" zoomScale="85" zoomScaleNormal="85" workbookViewId="0">
      <selection activeCell="C96" sqref="C96"/>
    </sheetView>
  </sheetViews>
  <sheetFormatPr defaultColWidth="9.140625" defaultRowHeight="18"/>
  <cols>
    <col min="1" max="1" width="9.140625" style="202"/>
    <col min="2" max="2" width="9.140625" style="202" customWidth="1"/>
    <col min="3" max="3" width="9.140625" style="202"/>
    <col min="4" max="4" width="34.28515625" style="217" customWidth="1"/>
    <col min="5" max="5" width="17.42578125" style="218" customWidth="1"/>
    <col min="6" max="7" width="16" style="218" customWidth="1"/>
    <col min="8" max="8" width="74.28515625" style="218" customWidth="1"/>
    <col min="9" max="9" width="26.7109375" style="218" customWidth="1"/>
    <col min="10" max="17" width="16.140625" style="218" hidden="1" customWidth="1"/>
    <col min="18" max="18" width="14.85546875" style="218" bestFit="1" customWidth="1"/>
    <col min="19" max="19" width="14.85546875" style="202" bestFit="1" customWidth="1"/>
    <col min="20" max="16384" width="9.140625" style="202"/>
  </cols>
  <sheetData>
    <row r="3" spans="4:19" ht="22.5" customHeight="1">
      <c r="D3" s="865" t="s">
        <v>1142</v>
      </c>
      <c r="E3" s="861"/>
      <c r="F3" s="861"/>
      <c r="G3" s="861"/>
      <c r="H3" s="861"/>
      <c r="I3" s="861"/>
      <c r="J3" s="837" t="s">
        <v>1183</v>
      </c>
      <c r="K3" s="837" t="s">
        <v>1189</v>
      </c>
      <c r="L3" s="837" t="s">
        <v>1305</v>
      </c>
      <c r="M3" s="837" t="s">
        <v>1303</v>
      </c>
      <c r="N3" s="866" t="s">
        <v>1304</v>
      </c>
      <c r="O3" s="837" t="s">
        <v>1306</v>
      </c>
      <c r="P3" s="837" t="s">
        <v>714</v>
      </c>
      <c r="Q3" s="837" t="s">
        <v>715</v>
      </c>
      <c r="R3" s="837" t="s">
        <v>1252</v>
      </c>
      <c r="S3" s="837" t="s">
        <v>1253</v>
      </c>
    </row>
    <row r="4" spans="4:19" ht="21" customHeight="1">
      <c r="D4" s="847" t="s">
        <v>716</v>
      </c>
      <c r="E4" s="848" t="s">
        <v>717</v>
      </c>
      <c r="F4" s="849"/>
      <c r="G4" s="850" t="s">
        <v>718</v>
      </c>
      <c r="H4" s="851"/>
      <c r="I4" s="599" t="s">
        <v>719</v>
      </c>
      <c r="J4" s="837"/>
      <c r="K4" s="837"/>
      <c r="L4" s="837"/>
      <c r="M4" s="837"/>
      <c r="N4" s="837"/>
      <c r="O4" s="837"/>
      <c r="P4" s="837"/>
      <c r="Q4" s="837"/>
      <c r="R4" s="837"/>
      <c r="S4" s="837"/>
    </row>
    <row r="5" spans="4:19" ht="12.75" customHeight="1">
      <c r="D5" s="847"/>
      <c r="E5" s="856" t="s">
        <v>720</v>
      </c>
      <c r="F5" s="856" t="s">
        <v>721</v>
      </c>
      <c r="G5" s="852"/>
      <c r="H5" s="853"/>
      <c r="I5" s="858" t="s">
        <v>722</v>
      </c>
      <c r="J5" s="837"/>
      <c r="K5" s="837"/>
      <c r="L5" s="837"/>
      <c r="M5" s="837" t="s">
        <v>712</v>
      </c>
      <c r="N5" s="837" t="s">
        <v>713</v>
      </c>
      <c r="O5" s="837"/>
      <c r="P5" s="837" t="s">
        <v>723</v>
      </c>
      <c r="Q5" s="837" t="s">
        <v>715</v>
      </c>
      <c r="R5" s="837" t="s">
        <v>724</v>
      </c>
      <c r="S5" s="837" t="s">
        <v>724</v>
      </c>
    </row>
    <row r="6" spans="4:19" ht="24" customHeight="1">
      <c r="D6" s="219" t="s">
        <v>725</v>
      </c>
      <c r="E6" s="857"/>
      <c r="F6" s="857"/>
      <c r="G6" s="854"/>
      <c r="H6" s="855"/>
      <c r="I6" s="859"/>
      <c r="J6" s="837"/>
      <c r="K6" s="837"/>
      <c r="L6" s="837"/>
      <c r="M6" s="837"/>
      <c r="N6" s="837"/>
      <c r="O6" s="837"/>
      <c r="P6" s="837"/>
      <c r="Q6" s="837"/>
      <c r="R6" s="837"/>
      <c r="S6" s="837"/>
    </row>
    <row r="7" spans="4:19" ht="57.75" customHeight="1">
      <c r="D7" s="220" t="s">
        <v>1143</v>
      </c>
      <c r="E7" s="220">
        <v>2</v>
      </c>
      <c r="F7" s="220">
        <v>2</v>
      </c>
      <c r="G7" s="838" t="s">
        <v>1307</v>
      </c>
      <c r="H7" s="839"/>
      <c r="I7" s="399">
        <f>E7+F7</f>
        <v>4</v>
      </c>
      <c r="J7" s="614">
        <v>229.5</v>
      </c>
      <c r="K7" s="614">
        <v>350</v>
      </c>
      <c r="L7" s="614">
        <v>299</v>
      </c>
      <c r="M7" s="614">
        <v>380</v>
      </c>
      <c r="N7" s="614">
        <v>239.9</v>
      </c>
      <c r="O7" s="614">
        <v>139.9</v>
      </c>
      <c r="P7" s="400">
        <f>+AVERAGE(J7:O7)</f>
        <v>273.05</v>
      </c>
      <c r="Q7" s="400">
        <f>MEDIAN(J7:O7)</f>
        <v>269.45</v>
      </c>
      <c r="R7" s="400">
        <f>SMALL(P7:Q7,1)</f>
        <v>269.45</v>
      </c>
      <c r="S7" s="400">
        <f t="shared" ref="S7:S12" si="0">+R7*I7</f>
        <v>1077.8</v>
      </c>
    </row>
    <row r="8" spans="4:19" ht="24" customHeight="1">
      <c r="D8" s="220" t="s">
        <v>1144</v>
      </c>
      <c r="E8" s="220">
        <v>2</v>
      </c>
      <c r="F8" s="220">
        <v>2</v>
      </c>
      <c r="G8" s="838" t="s">
        <v>1145</v>
      </c>
      <c r="H8" s="839"/>
      <c r="I8" s="399">
        <f t="shared" ref="I8:I12" si="1">E8+F8</f>
        <v>4</v>
      </c>
      <c r="J8" s="614">
        <v>41.5</v>
      </c>
      <c r="K8" s="614">
        <v>42</v>
      </c>
      <c r="L8" s="614">
        <v>45</v>
      </c>
      <c r="M8" s="614"/>
      <c r="N8" s="614">
        <v>49.9</v>
      </c>
      <c r="O8" s="614">
        <v>19.899999999999999</v>
      </c>
      <c r="P8" s="400">
        <f t="shared" ref="P8:P12" si="2">+AVERAGE(J8:O8)</f>
        <v>39.660000000000004</v>
      </c>
      <c r="Q8" s="400">
        <f t="shared" ref="Q8:Q12" si="3">MEDIAN(J8:O8)</f>
        <v>42</v>
      </c>
      <c r="R8" s="400">
        <f t="shared" ref="R8:R11" si="4">SMALL(P8:Q8,1)</f>
        <v>39.660000000000004</v>
      </c>
      <c r="S8" s="400">
        <f t="shared" si="0"/>
        <v>158.64000000000001</v>
      </c>
    </row>
    <row r="9" spans="4:19" ht="57.75" customHeight="1">
      <c r="D9" s="220" t="s">
        <v>1146</v>
      </c>
      <c r="E9" s="220">
        <v>2</v>
      </c>
      <c r="F9" s="220">
        <v>2</v>
      </c>
      <c r="G9" s="838" t="s">
        <v>1148</v>
      </c>
      <c r="H9" s="839" t="s">
        <v>727</v>
      </c>
      <c r="I9" s="399">
        <f t="shared" si="1"/>
        <v>4</v>
      </c>
      <c r="J9" s="614">
        <v>99.9</v>
      </c>
      <c r="K9" s="614">
        <v>74</v>
      </c>
      <c r="L9" s="614">
        <v>139</v>
      </c>
      <c r="M9" s="614">
        <v>99.9</v>
      </c>
      <c r="N9" s="614">
        <v>129.9</v>
      </c>
      <c r="O9" s="614">
        <v>90</v>
      </c>
      <c r="P9" s="400">
        <f>+AVERAGE(J9:O9)</f>
        <v>105.44999999999999</v>
      </c>
      <c r="Q9" s="400">
        <f t="shared" si="3"/>
        <v>99.9</v>
      </c>
      <c r="R9" s="400">
        <f>SMALL(P9:Q9,1)</f>
        <v>99.9</v>
      </c>
      <c r="S9" s="400">
        <f t="shared" si="0"/>
        <v>399.6</v>
      </c>
    </row>
    <row r="10" spans="4:19" ht="57.75" customHeight="1">
      <c r="D10" s="220" t="s">
        <v>1147</v>
      </c>
      <c r="E10" s="220">
        <v>2</v>
      </c>
      <c r="F10" s="220">
        <v>1</v>
      </c>
      <c r="G10" s="838" t="s">
        <v>1149</v>
      </c>
      <c r="H10" s="839"/>
      <c r="I10" s="399">
        <f t="shared" si="1"/>
        <v>3</v>
      </c>
      <c r="J10" s="614">
        <v>99.9</v>
      </c>
      <c r="K10" s="614">
        <v>190</v>
      </c>
      <c r="L10" s="614">
        <v>199</v>
      </c>
      <c r="M10" s="614">
        <v>149</v>
      </c>
      <c r="N10" s="614">
        <v>149.9</v>
      </c>
      <c r="O10" s="614"/>
      <c r="P10" s="400">
        <f t="shared" si="2"/>
        <v>157.56</v>
      </c>
      <c r="Q10" s="400">
        <f t="shared" si="3"/>
        <v>149.9</v>
      </c>
      <c r="R10" s="400">
        <f t="shared" si="4"/>
        <v>149.9</v>
      </c>
      <c r="S10" s="400">
        <f t="shared" si="0"/>
        <v>449.70000000000005</v>
      </c>
    </row>
    <row r="11" spans="4:19" ht="26.25" customHeight="1">
      <c r="D11" s="220" t="s">
        <v>726</v>
      </c>
      <c r="E11" s="220">
        <v>2</v>
      </c>
      <c r="F11" s="220">
        <v>2</v>
      </c>
      <c r="G11" s="838" t="s">
        <v>1150</v>
      </c>
      <c r="H11" s="839"/>
      <c r="I11" s="399">
        <f t="shared" si="1"/>
        <v>4</v>
      </c>
      <c r="J11" s="614">
        <v>99.9</v>
      </c>
      <c r="K11" s="614">
        <v>85</v>
      </c>
      <c r="L11" s="614">
        <v>110</v>
      </c>
      <c r="M11" s="614"/>
      <c r="N11" s="614">
        <v>119.9</v>
      </c>
      <c r="O11" s="614">
        <v>90</v>
      </c>
      <c r="P11" s="400">
        <f>+AVERAGE(J11:O11)</f>
        <v>100.96</v>
      </c>
      <c r="Q11" s="400">
        <f>MEDIAN(J11:O11)</f>
        <v>99.9</v>
      </c>
      <c r="R11" s="400">
        <f t="shared" si="4"/>
        <v>99.9</v>
      </c>
      <c r="S11" s="400">
        <f t="shared" si="0"/>
        <v>399.6</v>
      </c>
    </row>
    <row r="12" spans="4:19" ht="30" customHeight="1">
      <c r="D12" s="220" t="s">
        <v>728</v>
      </c>
      <c r="E12" s="220">
        <v>2</v>
      </c>
      <c r="F12" s="220">
        <v>1</v>
      </c>
      <c r="G12" s="838" t="s">
        <v>1151</v>
      </c>
      <c r="H12" s="839"/>
      <c r="I12" s="399">
        <f t="shared" si="1"/>
        <v>3</v>
      </c>
      <c r="J12" s="614">
        <v>29.9</v>
      </c>
      <c r="K12" s="614">
        <v>19.899999999999999</v>
      </c>
      <c r="L12" s="614">
        <v>29</v>
      </c>
      <c r="M12" s="614"/>
      <c r="N12" s="614">
        <v>22</v>
      </c>
      <c r="O12" s="614"/>
      <c r="P12" s="400">
        <f t="shared" si="2"/>
        <v>25.2</v>
      </c>
      <c r="Q12" s="400">
        <f t="shared" si="3"/>
        <v>25.5</v>
      </c>
      <c r="R12" s="400">
        <f t="shared" ref="R12" si="5">SMALL(P12:Q12,1)</f>
        <v>25.2</v>
      </c>
      <c r="S12" s="400">
        <f t="shared" si="0"/>
        <v>75.599999999999994</v>
      </c>
    </row>
    <row r="13" spans="4:19" ht="30" customHeight="1">
      <c r="D13" s="841" t="s">
        <v>729</v>
      </c>
      <c r="E13" s="841"/>
      <c r="F13" s="841"/>
      <c r="G13" s="841"/>
      <c r="H13" s="841"/>
      <c r="I13" s="225">
        <f>+SUM(S7:S12)/12</f>
        <v>213.41166666666663</v>
      </c>
      <c r="J13" s="202"/>
      <c r="K13" s="202"/>
      <c r="L13" s="202"/>
      <c r="M13" s="202"/>
      <c r="N13" s="202"/>
      <c r="O13" s="202"/>
      <c r="P13" s="202"/>
      <c r="Q13" s="202"/>
      <c r="R13" s="202"/>
    </row>
    <row r="14" spans="4:19" ht="17.25" customHeight="1">
      <c r="D14" s="202"/>
      <c r="E14" s="202"/>
      <c r="F14" s="202"/>
      <c r="G14" s="202"/>
      <c r="H14" s="202"/>
      <c r="I14" s="202"/>
      <c r="J14" s="202"/>
      <c r="K14" s="202"/>
      <c r="L14" s="202"/>
      <c r="M14" s="202"/>
      <c r="N14" s="202"/>
      <c r="O14" s="202"/>
      <c r="P14" s="202"/>
      <c r="Q14" s="202"/>
      <c r="R14" s="202"/>
    </row>
    <row r="15" spans="4:19" ht="26.25" customHeight="1">
      <c r="D15" s="865" t="s">
        <v>1152</v>
      </c>
      <c r="E15" s="861"/>
      <c r="F15" s="861"/>
      <c r="G15" s="861"/>
      <c r="H15" s="861"/>
      <c r="I15" s="861"/>
      <c r="J15" s="837" t="s">
        <v>1183</v>
      </c>
      <c r="K15" s="837" t="s">
        <v>1189</v>
      </c>
      <c r="L15" s="837" t="s">
        <v>1305</v>
      </c>
      <c r="M15" s="837" t="s">
        <v>1303</v>
      </c>
      <c r="N15" s="866" t="s">
        <v>1304</v>
      </c>
      <c r="O15" s="837" t="s">
        <v>1306</v>
      </c>
      <c r="P15" s="837" t="s">
        <v>714</v>
      </c>
      <c r="Q15" s="837" t="s">
        <v>715</v>
      </c>
      <c r="R15" s="837" t="s">
        <v>1252</v>
      </c>
      <c r="S15" s="837" t="s">
        <v>1253</v>
      </c>
    </row>
    <row r="16" spans="4:19" ht="25.5" customHeight="1">
      <c r="D16" s="847" t="s">
        <v>716</v>
      </c>
      <c r="E16" s="848" t="s">
        <v>717</v>
      </c>
      <c r="F16" s="849"/>
      <c r="G16" s="850" t="s">
        <v>718</v>
      </c>
      <c r="H16" s="851"/>
      <c r="I16" s="599" t="s">
        <v>719</v>
      </c>
      <c r="J16" s="837"/>
      <c r="K16" s="837"/>
      <c r="L16" s="837"/>
      <c r="M16" s="837"/>
      <c r="N16" s="837"/>
      <c r="O16" s="837"/>
      <c r="P16" s="837"/>
      <c r="Q16" s="837"/>
      <c r="R16" s="837"/>
      <c r="S16" s="837"/>
    </row>
    <row r="17" spans="4:19" ht="27.75" customHeight="1">
      <c r="D17" s="847"/>
      <c r="E17" s="856" t="s">
        <v>720</v>
      </c>
      <c r="F17" s="856" t="s">
        <v>721</v>
      </c>
      <c r="G17" s="852"/>
      <c r="H17" s="853"/>
      <c r="I17" s="858" t="s">
        <v>722</v>
      </c>
      <c r="J17" s="837"/>
      <c r="K17" s="837"/>
      <c r="L17" s="837"/>
      <c r="M17" s="837" t="s">
        <v>712</v>
      </c>
      <c r="N17" s="837" t="s">
        <v>713</v>
      </c>
      <c r="O17" s="837"/>
      <c r="P17" s="837" t="s">
        <v>723</v>
      </c>
      <c r="Q17" s="837" t="s">
        <v>715</v>
      </c>
      <c r="R17" s="837" t="s">
        <v>724</v>
      </c>
      <c r="S17" s="837" t="s">
        <v>724</v>
      </c>
    </row>
    <row r="18" spans="4:19" ht="24" customHeight="1">
      <c r="D18" s="603" t="s">
        <v>1267</v>
      </c>
      <c r="E18" s="857"/>
      <c r="F18" s="857"/>
      <c r="G18" s="854"/>
      <c r="H18" s="855"/>
      <c r="I18" s="859"/>
      <c r="J18" s="837"/>
      <c r="K18" s="837"/>
      <c r="L18" s="837"/>
      <c r="M18" s="837"/>
      <c r="N18" s="837"/>
      <c r="O18" s="837"/>
      <c r="P18" s="837"/>
      <c r="Q18" s="837"/>
      <c r="R18" s="837"/>
      <c r="S18" s="837"/>
    </row>
    <row r="19" spans="4:19" ht="57.75" customHeight="1">
      <c r="D19" s="220" t="s">
        <v>1143</v>
      </c>
      <c r="E19" s="220">
        <v>2</v>
      </c>
      <c r="F19" s="220">
        <v>2</v>
      </c>
      <c r="G19" s="838" t="s">
        <v>1301</v>
      </c>
      <c r="H19" s="839" t="s">
        <v>1158</v>
      </c>
      <c r="I19" s="399">
        <f>E19+F19</f>
        <v>4</v>
      </c>
      <c r="J19" s="614">
        <v>129.9</v>
      </c>
      <c r="K19" s="614">
        <v>350</v>
      </c>
      <c r="L19" s="614">
        <v>299</v>
      </c>
      <c r="M19" s="614">
        <v>380</v>
      </c>
      <c r="N19" s="614">
        <v>299.89999999999998</v>
      </c>
      <c r="O19" s="614">
        <v>99.9</v>
      </c>
      <c r="P19" s="400">
        <f t="shared" ref="P19:P25" si="6">+AVERAGE(J19:O19)</f>
        <v>259.78333333333336</v>
      </c>
      <c r="Q19" s="400">
        <f>MEDIAN(J19:O19)</f>
        <v>299.45</v>
      </c>
      <c r="R19" s="400">
        <f>SMALL(P19:Q19,1)</f>
        <v>259.78333333333336</v>
      </c>
      <c r="S19" s="400">
        <f t="shared" ref="S19:S25" si="7">+R19*I19</f>
        <v>1039.1333333333334</v>
      </c>
    </row>
    <row r="20" spans="4:19" ht="34.5" customHeight="1">
      <c r="D20" s="220" t="s">
        <v>1153</v>
      </c>
      <c r="E20" s="220">
        <v>2</v>
      </c>
      <c r="F20" s="220">
        <v>2</v>
      </c>
      <c r="G20" s="838" t="s">
        <v>1302</v>
      </c>
      <c r="H20" s="839" t="s">
        <v>1159</v>
      </c>
      <c r="I20" s="399">
        <f t="shared" ref="I20:I24" si="8">E20+F20</f>
        <v>4</v>
      </c>
      <c r="J20" s="614">
        <v>64.900000000000006</v>
      </c>
      <c r="K20" s="614">
        <v>85</v>
      </c>
      <c r="L20" s="614">
        <v>110</v>
      </c>
      <c r="M20" s="614">
        <v>149</v>
      </c>
      <c r="N20" s="614">
        <v>179.9</v>
      </c>
      <c r="O20" s="614">
        <v>59.9</v>
      </c>
      <c r="P20" s="400">
        <f t="shared" si="6"/>
        <v>108.11666666666666</v>
      </c>
      <c r="Q20" s="400">
        <f t="shared" ref="Q20:Q25" si="9">MEDIAN(J20:O20)</f>
        <v>97.5</v>
      </c>
      <c r="R20" s="400">
        <f t="shared" ref="R20:R24" si="10">SMALL(P20:Q20,1)</f>
        <v>97.5</v>
      </c>
      <c r="S20" s="400">
        <f t="shared" si="7"/>
        <v>390</v>
      </c>
    </row>
    <row r="21" spans="4:19" ht="36" customHeight="1">
      <c r="D21" s="220" t="s">
        <v>1154</v>
      </c>
      <c r="E21" s="220">
        <v>2</v>
      </c>
      <c r="F21" s="220">
        <v>2</v>
      </c>
      <c r="G21" s="838" t="s">
        <v>1160</v>
      </c>
      <c r="H21" s="839" t="s">
        <v>1160</v>
      </c>
      <c r="I21" s="399">
        <f t="shared" si="8"/>
        <v>4</v>
      </c>
      <c r="J21" s="614">
        <v>15</v>
      </c>
      <c r="K21" s="614">
        <v>52</v>
      </c>
      <c r="L21" s="614">
        <v>75</v>
      </c>
      <c r="M21" s="614"/>
      <c r="N21" s="614"/>
      <c r="O21" s="614">
        <v>19.899999999999999</v>
      </c>
      <c r="P21" s="400">
        <f>+AVERAGE(J21:O21)</f>
        <v>40.475000000000001</v>
      </c>
      <c r="Q21" s="400">
        <f t="shared" si="9"/>
        <v>35.950000000000003</v>
      </c>
      <c r="R21" s="400">
        <f t="shared" si="10"/>
        <v>35.950000000000003</v>
      </c>
      <c r="S21" s="400">
        <f t="shared" si="7"/>
        <v>143.80000000000001</v>
      </c>
    </row>
    <row r="22" spans="4:19" ht="36.75" customHeight="1">
      <c r="D22" s="220" t="s">
        <v>1155</v>
      </c>
      <c r="E22" s="220">
        <v>2</v>
      </c>
      <c r="F22" s="220">
        <v>2</v>
      </c>
      <c r="G22" s="838" t="s">
        <v>1161</v>
      </c>
      <c r="H22" s="839" t="s">
        <v>1161</v>
      </c>
      <c r="I22" s="399">
        <f t="shared" si="8"/>
        <v>4</v>
      </c>
      <c r="J22" s="614">
        <v>65.900000000000006</v>
      </c>
      <c r="K22" s="614">
        <v>74</v>
      </c>
      <c r="L22" s="614">
        <v>145</v>
      </c>
      <c r="M22" s="614">
        <v>99.9</v>
      </c>
      <c r="N22" s="614">
        <v>139.9</v>
      </c>
      <c r="O22" s="614">
        <v>59.9</v>
      </c>
      <c r="P22" s="400">
        <f t="shared" si="6"/>
        <v>97.433333333333323</v>
      </c>
      <c r="Q22" s="400">
        <f t="shared" si="9"/>
        <v>86.95</v>
      </c>
      <c r="R22" s="400">
        <f t="shared" si="10"/>
        <v>86.95</v>
      </c>
      <c r="S22" s="400">
        <f t="shared" si="7"/>
        <v>347.8</v>
      </c>
    </row>
    <row r="23" spans="4:19" ht="24" customHeight="1">
      <c r="D23" s="220" t="s">
        <v>1156</v>
      </c>
      <c r="E23" s="220">
        <v>2</v>
      </c>
      <c r="F23" s="220">
        <v>1</v>
      </c>
      <c r="G23" s="838" t="s">
        <v>1162</v>
      </c>
      <c r="H23" s="839" t="s">
        <v>1162</v>
      </c>
      <c r="I23" s="399">
        <f t="shared" si="8"/>
        <v>3</v>
      </c>
      <c r="J23" s="614">
        <v>66.900000000000006</v>
      </c>
      <c r="K23" s="614">
        <v>51.75</v>
      </c>
      <c r="L23" s="614">
        <v>35</v>
      </c>
      <c r="M23" s="614"/>
      <c r="N23" s="614">
        <v>39.9</v>
      </c>
      <c r="O23" s="614"/>
      <c r="P23" s="400">
        <f t="shared" si="6"/>
        <v>48.387500000000003</v>
      </c>
      <c r="Q23" s="400">
        <f t="shared" si="9"/>
        <v>45.825000000000003</v>
      </c>
      <c r="R23" s="400">
        <f t="shared" si="10"/>
        <v>45.825000000000003</v>
      </c>
      <c r="S23" s="400">
        <f t="shared" si="7"/>
        <v>137.47500000000002</v>
      </c>
    </row>
    <row r="24" spans="4:19" ht="24.75" customHeight="1">
      <c r="D24" s="220" t="s">
        <v>1147</v>
      </c>
      <c r="E24" s="220">
        <v>2</v>
      </c>
      <c r="F24" s="220">
        <v>1</v>
      </c>
      <c r="G24" s="838" t="s">
        <v>1163</v>
      </c>
      <c r="H24" s="839" t="s">
        <v>1163</v>
      </c>
      <c r="I24" s="399">
        <f t="shared" si="8"/>
        <v>3</v>
      </c>
      <c r="J24" s="614">
        <v>69.900000000000006</v>
      </c>
      <c r="K24" s="614">
        <v>110</v>
      </c>
      <c r="L24" s="614">
        <v>199</v>
      </c>
      <c r="M24" s="614"/>
      <c r="N24" s="614">
        <v>195.9</v>
      </c>
      <c r="O24" s="614"/>
      <c r="P24" s="400">
        <f t="shared" si="6"/>
        <v>143.69999999999999</v>
      </c>
      <c r="Q24" s="400">
        <f t="shared" si="9"/>
        <v>152.94999999999999</v>
      </c>
      <c r="R24" s="400">
        <f t="shared" si="10"/>
        <v>143.69999999999999</v>
      </c>
      <c r="S24" s="400">
        <f t="shared" si="7"/>
        <v>431.09999999999997</v>
      </c>
    </row>
    <row r="25" spans="4:19" ht="27.75" customHeight="1">
      <c r="D25" s="220" t="s">
        <v>1157</v>
      </c>
      <c r="E25" s="220">
        <v>2</v>
      </c>
      <c r="F25" s="220">
        <v>1</v>
      </c>
      <c r="G25" s="838" t="s">
        <v>1164</v>
      </c>
      <c r="H25" s="839" t="s">
        <v>1164</v>
      </c>
      <c r="I25" s="399">
        <f t="shared" ref="I25" si="11">E25+F25</f>
        <v>3</v>
      </c>
      <c r="J25" s="614">
        <v>11.17</v>
      </c>
      <c r="K25" s="614">
        <v>24.9</v>
      </c>
      <c r="L25" s="614">
        <v>45</v>
      </c>
      <c r="M25" s="614"/>
      <c r="N25" s="614">
        <v>22</v>
      </c>
      <c r="O25" s="614"/>
      <c r="P25" s="400">
        <f t="shared" si="6"/>
        <v>25.767499999999998</v>
      </c>
      <c r="Q25" s="400">
        <f t="shared" si="9"/>
        <v>23.45</v>
      </c>
      <c r="R25" s="400">
        <f t="shared" ref="R25" si="12">SMALL(P25:Q25,1)</f>
        <v>23.45</v>
      </c>
      <c r="S25" s="400">
        <f t="shared" si="7"/>
        <v>70.349999999999994</v>
      </c>
    </row>
    <row r="26" spans="4:19" ht="26.25" customHeight="1">
      <c r="D26" s="841" t="s">
        <v>729</v>
      </c>
      <c r="E26" s="841"/>
      <c r="F26" s="841"/>
      <c r="G26" s="841"/>
      <c r="H26" s="841"/>
      <c r="I26" s="225">
        <f>+SUM(S19:S25)/12</f>
        <v>213.30486111111111</v>
      </c>
      <c r="J26" s="202"/>
      <c r="K26" s="202"/>
      <c r="L26" s="202"/>
      <c r="M26" s="202"/>
      <c r="N26" s="202"/>
      <c r="O26" s="202"/>
      <c r="P26" s="202"/>
      <c r="Q26" s="202"/>
      <c r="R26" s="202"/>
    </row>
    <row r="27" spans="4:19" ht="12.75">
      <c r="D27" s="202"/>
      <c r="E27" s="202"/>
      <c r="F27" s="202"/>
      <c r="G27" s="202"/>
      <c r="H27" s="202"/>
      <c r="I27" s="202"/>
      <c r="J27" s="202"/>
      <c r="K27" s="202"/>
      <c r="L27" s="202"/>
      <c r="M27" s="202"/>
      <c r="N27" s="202"/>
      <c r="O27" s="202"/>
      <c r="P27" s="202"/>
      <c r="Q27" s="202"/>
      <c r="R27" s="202"/>
    </row>
    <row r="28" spans="4:19" ht="21.75" customHeight="1">
      <c r="D28" s="865" t="s">
        <v>1165</v>
      </c>
      <c r="E28" s="861"/>
      <c r="F28" s="861"/>
      <c r="G28" s="861"/>
      <c r="H28" s="861"/>
      <c r="I28" s="861"/>
      <c r="J28" s="837" t="s">
        <v>1183</v>
      </c>
      <c r="K28" s="837" t="s">
        <v>1189</v>
      </c>
      <c r="L28" s="837" t="s">
        <v>1305</v>
      </c>
      <c r="M28" s="837" t="s">
        <v>1303</v>
      </c>
      <c r="N28" s="837" t="s">
        <v>1304</v>
      </c>
      <c r="O28" s="837" t="s">
        <v>1306</v>
      </c>
      <c r="P28" s="837" t="s">
        <v>714</v>
      </c>
      <c r="Q28" s="837" t="s">
        <v>715</v>
      </c>
      <c r="R28" s="837" t="s">
        <v>1252</v>
      </c>
      <c r="S28" s="837" t="s">
        <v>1253</v>
      </c>
    </row>
    <row r="29" spans="4:19" ht="27" customHeight="1">
      <c r="D29" s="847" t="s">
        <v>716</v>
      </c>
      <c r="E29" s="848" t="s">
        <v>717</v>
      </c>
      <c r="F29" s="849"/>
      <c r="G29" s="850" t="s">
        <v>718</v>
      </c>
      <c r="H29" s="851"/>
      <c r="I29" s="599" t="s">
        <v>719</v>
      </c>
      <c r="J29" s="837"/>
      <c r="K29" s="837"/>
      <c r="L29" s="837"/>
      <c r="M29" s="837"/>
      <c r="N29" s="837"/>
      <c r="O29" s="837"/>
      <c r="P29" s="837"/>
      <c r="Q29" s="837"/>
      <c r="R29" s="837"/>
      <c r="S29" s="837"/>
    </row>
    <row r="30" spans="4:19" ht="21" customHeight="1">
      <c r="D30" s="847"/>
      <c r="E30" s="856" t="s">
        <v>720</v>
      </c>
      <c r="F30" s="856" t="s">
        <v>721</v>
      </c>
      <c r="G30" s="852"/>
      <c r="H30" s="853"/>
      <c r="I30" s="858" t="s">
        <v>722</v>
      </c>
      <c r="J30" s="837"/>
      <c r="K30" s="837"/>
      <c r="L30" s="837"/>
      <c r="M30" s="837" t="s">
        <v>712</v>
      </c>
      <c r="N30" s="837" t="s">
        <v>713</v>
      </c>
      <c r="O30" s="837"/>
      <c r="P30" s="837" t="s">
        <v>723</v>
      </c>
      <c r="Q30" s="837" t="s">
        <v>715</v>
      </c>
      <c r="R30" s="837" t="s">
        <v>724</v>
      </c>
      <c r="S30" s="837" t="s">
        <v>724</v>
      </c>
    </row>
    <row r="31" spans="4:19" ht="26.25" customHeight="1">
      <c r="D31" s="219" t="s">
        <v>725</v>
      </c>
      <c r="E31" s="857"/>
      <c r="F31" s="857"/>
      <c r="G31" s="854"/>
      <c r="H31" s="855"/>
      <c r="I31" s="859"/>
      <c r="J31" s="837"/>
      <c r="K31" s="837"/>
      <c r="L31" s="837"/>
      <c r="M31" s="837"/>
      <c r="N31" s="837"/>
      <c r="O31" s="837"/>
      <c r="P31" s="837"/>
      <c r="Q31" s="837"/>
      <c r="R31" s="837"/>
      <c r="S31" s="837"/>
    </row>
    <row r="32" spans="4:19" ht="57.75" customHeight="1">
      <c r="D32" s="220" t="s">
        <v>1143</v>
      </c>
      <c r="E32" s="220">
        <v>2</v>
      </c>
      <c r="F32" s="220">
        <v>2</v>
      </c>
      <c r="G32" s="838" t="s">
        <v>1287</v>
      </c>
      <c r="H32" s="839" t="s">
        <v>1166</v>
      </c>
      <c r="I32" s="399">
        <f>E32+F32</f>
        <v>4</v>
      </c>
      <c r="J32" s="614">
        <v>229.5</v>
      </c>
      <c r="K32" s="614">
        <v>350</v>
      </c>
      <c r="L32" s="614">
        <v>299</v>
      </c>
      <c r="M32" s="614">
        <v>380</v>
      </c>
      <c r="N32" s="614">
        <v>239.9</v>
      </c>
      <c r="O32" s="614">
        <v>139.9</v>
      </c>
      <c r="P32" s="400">
        <f t="shared" ref="P32:P38" si="13">+AVERAGE(J32:O32)</f>
        <v>273.05</v>
      </c>
      <c r="Q32" s="400">
        <f>MEDIAN(J32:O32)</f>
        <v>269.45</v>
      </c>
      <c r="R32" s="400">
        <f>SMALL(P32:Q32,1)</f>
        <v>269.45</v>
      </c>
      <c r="S32" s="400">
        <f t="shared" ref="S32:S38" si="14">+R32*I32</f>
        <v>1077.8</v>
      </c>
    </row>
    <row r="33" spans="4:20" ht="30" customHeight="1">
      <c r="D33" s="220" t="s">
        <v>1144</v>
      </c>
      <c r="E33" s="220">
        <v>2</v>
      </c>
      <c r="F33" s="220">
        <v>2</v>
      </c>
      <c r="G33" s="838" t="s">
        <v>1167</v>
      </c>
      <c r="H33" s="839" t="s">
        <v>1167</v>
      </c>
      <c r="I33" s="399">
        <f t="shared" ref="I33:I38" si="15">E33+F33</f>
        <v>4</v>
      </c>
      <c r="J33" s="614">
        <v>41.5</v>
      </c>
      <c r="K33" s="614">
        <v>49</v>
      </c>
      <c r="L33" s="614">
        <v>35</v>
      </c>
      <c r="M33" s="614"/>
      <c r="N33" s="614">
        <v>49.9</v>
      </c>
      <c r="O33" s="614">
        <v>19.899999999999999</v>
      </c>
      <c r="P33" s="400">
        <f t="shared" si="13"/>
        <v>39.06</v>
      </c>
      <c r="Q33" s="400">
        <f t="shared" ref="Q33:Q38" si="16">MEDIAN(J33:O33)</f>
        <v>41.5</v>
      </c>
      <c r="R33" s="400">
        <f t="shared" ref="R33:R38" si="17">SMALL(P33:Q33,1)</f>
        <v>39.06</v>
      </c>
      <c r="S33" s="400">
        <f t="shared" si="14"/>
        <v>156.24</v>
      </c>
    </row>
    <row r="34" spans="4:20" ht="57.75" customHeight="1">
      <c r="D34" s="220" t="s">
        <v>1146</v>
      </c>
      <c r="E34" s="220">
        <v>2</v>
      </c>
      <c r="F34" s="220">
        <v>2</v>
      </c>
      <c r="G34" s="838" t="s">
        <v>1300</v>
      </c>
      <c r="H34" s="839" t="s">
        <v>1168</v>
      </c>
      <c r="I34" s="399">
        <f t="shared" si="15"/>
        <v>4</v>
      </c>
      <c r="J34" s="614">
        <v>99.9</v>
      </c>
      <c r="K34" s="614">
        <v>74</v>
      </c>
      <c r="L34" s="614">
        <v>199</v>
      </c>
      <c r="M34" s="614">
        <v>99.9</v>
      </c>
      <c r="N34" s="614">
        <v>129.9</v>
      </c>
      <c r="O34" s="614">
        <v>90</v>
      </c>
      <c r="P34" s="400">
        <f t="shared" si="13"/>
        <v>115.44999999999999</v>
      </c>
      <c r="Q34" s="400">
        <f t="shared" si="16"/>
        <v>99.9</v>
      </c>
      <c r="R34" s="400">
        <f t="shared" si="17"/>
        <v>99.9</v>
      </c>
      <c r="S34" s="400">
        <f t="shared" si="14"/>
        <v>399.6</v>
      </c>
    </row>
    <row r="35" spans="4:20" ht="57.75" customHeight="1">
      <c r="D35" s="220" t="s">
        <v>1147</v>
      </c>
      <c r="E35" s="220">
        <v>2</v>
      </c>
      <c r="F35" s="220">
        <v>1</v>
      </c>
      <c r="G35" s="838" t="s">
        <v>1149</v>
      </c>
      <c r="H35" s="839" t="s">
        <v>1149</v>
      </c>
      <c r="I35" s="399">
        <f t="shared" si="15"/>
        <v>3</v>
      </c>
      <c r="J35" s="614">
        <v>99.9</v>
      </c>
      <c r="K35" s="614">
        <v>110</v>
      </c>
      <c r="L35" s="614">
        <v>199</v>
      </c>
      <c r="M35" s="614"/>
      <c r="N35" s="614">
        <v>149.9</v>
      </c>
      <c r="O35" s="614"/>
      <c r="P35" s="400">
        <f>+AVERAGE(J35:O35)</f>
        <v>139.69999999999999</v>
      </c>
      <c r="Q35" s="400">
        <f t="shared" si="16"/>
        <v>129.94999999999999</v>
      </c>
      <c r="R35" s="400">
        <f t="shared" si="17"/>
        <v>129.94999999999999</v>
      </c>
      <c r="S35" s="400">
        <f t="shared" si="14"/>
        <v>389.84999999999997</v>
      </c>
    </row>
    <row r="36" spans="4:20" ht="54" customHeight="1">
      <c r="D36" s="220" t="s">
        <v>1278</v>
      </c>
      <c r="E36" s="220">
        <v>2</v>
      </c>
      <c r="F36" s="220">
        <v>2</v>
      </c>
      <c r="G36" s="838" t="s">
        <v>1288</v>
      </c>
      <c r="H36" s="839" t="s">
        <v>1150</v>
      </c>
      <c r="I36" s="399">
        <f t="shared" si="15"/>
        <v>4</v>
      </c>
      <c r="J36" s="614">
        <v>99.9</v>
      </c>
      <c r="K36" s="614">
        <v>84</v>
      </c>
      <c r="L36" s="614">
        <v>110</v>
      </c>
      <c r="M36" s="614">
        <v>149</v>
      </c>
      <c r="N36" s="614">
        <v>119.9</v>
      </c>
      <c r="O36" s="614">
        <v>59.9</v>
      </c>
      <c r="P36" s="400">
        <f t="shared" si="13"/>
        <v>103.78333333333332</v>
      </c>
      <c r="Q36" s="400">
        <f t="shared" si="16"/>
        <v>104.95</v>
      </c>
      <c r="R36" s="400">
        <f t="shared" si="17"/>
        <v>103.78333333333332</v>
      </c>
      <c r="S36" s="400">
        <f t="shared" si="14"/>
        <v>415.13333333333327</v>
      </c>
    </row>
    <row r="37" spans="4:20" ht="38.25" customHeight="1">
      <c r="D37" s="604" t="s">
        <v>1260</v>
      </c>
      <c r="E37" s="220">
        <v>1</v>
      </c>
      <c r="F37" s="220">
        <v>1</v>
      </c>
      <c r="G37" s="840" t="s">
        <v>1268</v>
      </c>
      <c r="H37" s="839"/>
      <c r="I37" s="399">
        <f t="shared" si="15"/>
        <v>2</v>
      </c>
      <c r="J37" s="614"/>
      <c r="K37" s="614">
        <v>50</v>
      </c>
      <c r="L37" s="614">
        <v>45</v>
      </c>
      <c r="M37" s="614"/>
      <c r="N37" s="614">
        <v>89.9</v>
      </c>
      <c r="O37" s="614"/>
      <c r="P37" s="400">
        <f t="shared" si="13"/>
        <v>61.633333333333333</v>
      </c>
      <c r="Q37" s="400">
        <f>MEDIAN(J37:O37)</f>
        <v>50</v>
      </c>
      <c r="R37" s="400">
        <f t="shared" ref="R37" si="18">SMALL(P37:Q37,1)</f>
        <v>50</v>
      </c>
      <c r="S37" s="400">
        <f t="shared" si="14"/>
        <v>100</v>
      </c>
    </row>
    <row r="38" spans="4:20" ht="30" customHeight="1">
      <c r="D38" s="220" t="s">
        <v>728</v>
      </c>
      <c r="E38" s="220">
        <v>2</v>
      </c>
      <c r="F38" s="220">
        <v>1</v>
      </c>
      <c r="G38" s="838" t="s">
        <v>1151</v>
      </c>
      <c r="H38" s="839" t="s">
        <v>1151</v>
      </c>
      <c r="I38" s="399">
        <f t="shared" si="15"/>
        <v>3</v>
      </c>
      <c r="J38" s="614">
        <v>29.9</v>
      </c>
      <c r="K38" s="614">
        <v>19.899999999999999</v>
      </c>
      <c r="L38" s="614">
        <v>29.9</v>
      </c>
      <c r="M38" s="614"/>
      <c r="N38" s="614">
        <v>22</v>
      </c>
      <c r="O38" s="614"/>
      <c r="P38" s="400">
        <f t="shared" si="13"/>
        <v>25.424999999999997</v>
      </c>
      <c r="Q38" s="400">
        <f t="shared" si="16"/>
        <v>25.95</v>
      </c>
      <c r="R38" s="400">
        <f t="shared" si="17"/>
        <v>25.424999999999997</v>
      </c>
      <c r="S38" s="400">
        <f t="shared" si="14"/>
        <v>76.274999999999991</v>
      </c>
    </row>
    <row r="39" spans="4:20" ht="24.75" customHeight="1">
      <c r="D39" s="841" t="s">
        <v>729</v>
      </c>
      <c r="E39" s="841"/>
      <c r="F39" s="841"/>
      <c r="G39" s="841"/>
      <c r="H39" s="841"/>
      <c r="I39" s="225">
        <f>+SUM(S32:S38)/12</f>
        <v>217.90819444444443</v>
      </c>
      <c r="J39" s="401"/>
      <c r="K39" s="401"/>
      <c r="L39" s="401"/>
      <c r="M39" s="401"/>
      <c r="N39" s="401"/>
      <c r="O39" s="401"/>
      <c r="P39" s="401"/>
      <c r="Q39" s="401"/>
      <c r="R39" s="401"/>
      <c r="S39" s="401"/>
      <c r="T39" s="401"/>
    </row>
    <row r="40" spans="4:20" ht="16.5" customHeight="1">
      <c r="D40" s="202"/>
      <c r="E40" s="202"/>
      <c r="F40" s="202"/>
      <c r="G40" s="202"/>
      <c r="H40" s="202"/>
      <c r="I40" s="202"/>
      <c r="J40" s="401"/>
      <c r="K40" s="401"/>
      <c r="L40" s="401"/>
      <c r="M40" s="401"/>
      <c r="N40" s="401"/>
      <c r="O40" s="401"/>
      <c r="P40" s="401"/>
      <c r="Q40" s="401"/>
      <c r="R40" s="401"/>
      <c r="S40" s="401"/>
      <c r="T40" s="401"/>
    </row>
    <row r="41" spans="4:20" ht="22.5" customHeight="1">
      <c r="D41" s="846" t="s">
        <v>1277</v>
      </c>
      <c r="E41" s="846"/>
      <c r="F41" s="846"/>
      <c r="G41" s="846"/>
      <c r="H41" s="846"/>
      <c r="I41" s="846"/>
      <c r="J41" s="837" t="s">
        <v>1183</v>
      </c>
      <c r="K41" s="837" t="s">
        <v>1189</v>
      </c>
      <c r="L41" s="837" t="s">
        <v>1305</v>
      </c>
      <c r="M41" s="837" t="s">
        <v>1303</v>
      </c>
      <c r="N41" s="837" t="s">
        <v>1304</v>
      </c>
      <c r="O41" s="837" t="s">
        <v>1306</v>
      </c>
      <c r="P41" s="837" t="s">
        <v>714</v>
      </c>
      <c r="Q41" s="837" t="s">
        <v>715</v>
      </c>
      <c r="R41" s="837" t="s">
        <v>1252</v>
      </c>
      <c r="S41" s="837" t="s">
        <v>1253</v>
      </c>
    </row>
    <row r="42" spans="4:20" ht="27" customHeight="1">
      <c r="D42" s="844" t="s">
        <v>716</v>
      </c>
      <c r="E42" s="845" t="s">
        <v>717</v>
      </c>
      <c r="F42" s="845"/>
      <c r="G42" s="845" t="s">
        <v>718</v>
      </c>
      <c r="H42" s="845"/>
      <c r="I42" s="611" t="s">
        <v>719</v>
      </c>
      <c r="J42" s="837"/>
      <c r="K42" s="837"/>
      <c r="L42" s="837"/>
      <c r="M42" s="837"/>
      <c r="N42" s="837"/>
      <c r="O42" s="837"/>
      <c r="P42" s="837"/>
      <c r="Q42" s="837"/>
      <c r="R42" s="837"/>
      <c r="S42" s="837"/>
    </row>
    <row r="43" spans="4:20" ht="12.75" customHeight="1">
      <c r="D43" s="844"/>
      <c r="E43" s="845" t="s">
        <v>720</v>
      </c>
      <c r="F43" s="845" t="s">
        <v>721</v>
      </c>
      <c r="G43" s="845"/>
      <c r="H43" s="845"/>
      <c r="I43" s="837" t="s">
        <v>722</v>
      </c>
      <c r="J43" s="837"/>
      <c r="K43" s="837"/>
      <c r="L43" s="837"/>
      <c r="M43" s="837" t="s">
        <v>712</v>
      </c>
      <c r="N43" s="837" t="s">
        <v>713</v>
      </c>
      <c r="O43" s="837"/>
      <c r="P43" s="837" t="s">
        <v>723</v>
      </c>
      <c r="Q43" s="837" t="s">
        <v>715</v>
      </c>
      <c r="R43" s="837" t="s">
        <v>724</v>
      </c>
      <c r="S43" s="837" t="s">
        <v>724</v>
      </c>
    </row>
    <row r="44" spans="4:20" ht="20.25" customHeight="1">
      <c r="D44" s="611" t="s">
        <v>1267</v>
      </c>
      <c r="E44" s="845"/>
      <c r="F44" s="845"/>
      <c r="G44" s="845"/>
      <c r="H44" s="845"/>
      <c r="I44" s="837"/>
      <c r="J44" s="837"/>
      <c r="K44" s="837"/>
      <c r="L44" s="837"/>
      <c r="M44" s="837"/>
      <c r="N44" s="837"/>
      <c r="O44" s="837"/>
      <c r="P44" s="837"/>
      <c r="Q44" s="837"/>
      <c r="R44" s="837"/>
      <c r="S44" s="837"/>
    </row>
    <row r="45" spans="4:20" ht="76.5" customHeight="1">
      <c r="D45" s="608" t="s">
        <v>1143</v>
      </c>
      <c r="E45" s="608">
        <v>2</v>
      </c>
      <c r="F45" s="608">
        <v>2</v>
      </c>
      <c r="G45" s="842" t="s">
        <v>1285</v>
      </c>
      <c r="H45" s="843" t="s">
        <v>1166</v>
      </c>
      <c r="I45" s="609">
        <f>E45+F45</f>
        <v>4</v>
      </c>
      <c r="J45" s="615">
        <v>99.9</v>
      </c>
      <c r="K45" s="615">
        <v>350</v>
      </c>
      <c r="L45" s="615">
        <v>299</v>
      </c>
      <c r="M45" s="615">
        <v>380</v>
      </c>
      <c r="N45" s="615">
        <v>299.89999999999998</v>
      </c>
      <c r="O45" s="615">
        <v>99.9</v>
      </c>
      <c r="P45" s="400">
        <f t="shared" ref="P45:P51" si="19">+AVERAGE(J45:O45)</f>
        <v>254.78333333333339</v>
      </c>
      <c r="Q45" s="400">
        <f>MEDIAN(J45:O45)</f>
        <v>299.45</v>
      </c>
      <c r="R45" s="610">
        <f>SMALL(P45:Q45,1)</f>
        <v>254.78333333333339</v>
      </c>
      <c r="S45" s="610">
        <f t="shared" ref="S45:S51" si="20">+R45*I45</f>
        <v>1019.1333333333336</v>
      </c>
    </row>
    <row r="46" spans="4:20" ht="33.75" customHeight="1">
      <c r="D46" s="220" t="s">
        <v>1144</v>
      </c>
      <c r="E46" s="220">
        <v>2</v>
      </c>
      <c r="F46" s="220">
        <v>2</v>
      </c>
      <c r="G46" s="838" t="s">
        <v>1283</v>
      </c>
      <c r="H46" s="839" t="s">
        <v>1167</v>
      </c>
      <c r="I46" s="399">
        <f t="shared" ref="I46:I51" si="21">E46+F46</f>
        <v>4</v>
      </c>
      <c r="J46" s="614"/>
      <c r="K46" s="614">
        <v>49</v>
      </c>
      <c r="L46" s="614">
        <v>55</v>
      </c>
      <c r="M46" s="614"/>
      <c r="N46" s="614">
        <v>49.9</v>
      </c>
      <c r="O46" s="614">
        <v>17.899999999999999</v>
      </c>
      <c r="P46" s="400">
        <f t="shared" si="19"/>
        <v>42.95</v>
      </c>
      <c r="Q46" s="400">
        <f t="shared" ref="Q46:Q51" si="22">MEDIAN(J46:O46)</f>
        <v>49.45</v>
      </c>
      <c r="R46" s="400">
        <f t="shared" ref="R46:R49" si="23">SMALL(P46:Q46,1)</f>
        <v>42.95</v>
      </c>
      <c r="S46" s="400">
        <f t="shared" si="20"/>
        <v>171.8</v>
      </c>
    </row>
    <row r="47" spans="4:20" ht="39" customHeight="1">
      <c r="D47" s="220" t="s">
        <v>1146</v>
      </c>
      <c r="E47" s="220">
        <v>2</v>
      </c>
      <c r="F47" s="220">
        <v>2</v>
      </c>
      <c r="G47" s="838" t="s">
        <v>1299</v>
      </c>
      <c r="H47" s="839" t="s">
        <v>1168</v>
      </c>
      <c r="I47" s="399">
        <f t="shared" si="21"/>
        <v>4</v>
      </c>
      <c r="J47" s="614"/>
      <c r="K47" s="614">
        <v>74</v>
      </c>
      <c r="L47" s="614">
        <v>199</v>
      </c>
      <c r="M47" s="614">
        <v>99.9</v>
      </c>
      <c r="N47" s="614">
        <v>139.9</v>
      </c>
      <c r="O47" s="614">
        <v>59.9</v>
      </c>
      <c r="P47" s="400">
        <f>+AVERAGE(J47:O47)</f>
        <v>114.53999999999999</v>
      </c>
      <c r="Q47" s="400">
        <f t="shared" si="22"/>
        <v>99.9</v>
      </c>
      <c r="R47" s="400">
        <f t="shared" si="23"/>
        <v>99.9</v>
      </c>
      <c r="S47" s="400">
        <f t="shared" si="20"/>
        <v>399.6</v>
      </c>
    </row>
    <row r="48" spans="4:20" ht="79.5" customHeight="1">
      <c r="D48" s="220" t="s">
        <v>1147</v>
      </c>
      <c r="E48" s="220">
        <v>2</v>
      </c>
      <c r="F48" s="220">
        <v>1</v>
      </c>
      <c r="G48" s="838" t="s">
        <v>1282</v>
      </c>
      <c r="H48" s="839" t="s">
        <v>1149</v>
      </c>
      <c r="I48" s="399">
        <v>3</v>
      </c>
      <c r="J48" s="614">
        <v>65.900000000000006</v>
      </c>
      <c r="K48" s="614">
        <v>110</v>
      </c>
      <c r="L48" s="614">
        <v>199</v>
      </c>
      <c r="M48" s="614"/>
      <c r="N48" s="614">
        <v>195.9</v>
      </c>
      <c r="O48" s="614"/>
      <c r="P48" s="400">
        <f t="shared" si="19"/>
        <v>142.69999999999999</v>
      </c>
      <c r="Q48" s="400">
        <f t="shared" si="22"/>
        <v>152.94999999999999</v>
      </c>
      <c r="R48" s="400">
        <f t="shared" si="23"/>
        <v>142.69999999999999</v>
      </c>
      <c r="S48" s="400">
        <f t="shared" si="20"/>
        <v>428.09999999999997</v>
      </c>
    </row>
    <row r="49" spans="1:21" ht="54.75" customHeight="1">
      <c r="D49" s="220" t="s">
        <v>1278</v>
      </c>
      <c r="E49" s="220">
        <v>2</v>
      </c>
      <c r="F49" s="220">
        <v>2</v>
      </c>
      <c r="G49" s="838" t="s">
        <v>1286</v>
      </c>
      <c r="H49" s="839" t="s">
        <v>1150</v>
      </c>
      <c r="I49" s="399">
        <f t="shared" si="21"/>
        <v>4</v>
      </c>
      <c r="J49" s="614">
        <v>65.900000000000006</v>
      </c>
      <c r="K49" s="614">
        <v>84</v>
      </c>
      <c r="L49" s="614">
        <v>110</v>
      </c>
      <c r="M49" s="614">
        <v>149</v>
      </c>
      <c r="N49" s="614">
        <v>169.9</v>
      </c>
      <c r="O49" s="614">
        <v>59.9</v>
      </c>
      <c r="P49" s="400">
        <f t="shared" si="19"/>
        <v>106.44999999999999</v>
      </c>
      <c r="Q49" s="400">
        <f t="shared" si="22"/>
        <v>97</v>
      </c>
      <c r="R49" s="400">
        <f t="shared" si="23"/>
        <v>97</v>
      </c>
      <c r="S49" s="400">
        <f t="shared" si="20"/>
        <v>388</v>
      </c>
    </row>
    <row r="50" spans="1:21" ht="40.5" customHeight="1">
      <c r="D50" s="604" t="s">
        <v>1279</v>
      </c>
      <c r="E50" s="220">
        <v>1</v>
      </c>
      <c r="F50" s="220">
        <v>1</v>
      </c>
      <c r="G50" s="840" t="s">
        <v>1280</v>
      </c>
      <c r="H50" s="839"/>
      <c r="I50" s="399">
        <f t="shared" si="21"/>
        <v>2</v>
      </c>
      <c r="J50" s="614">
        <v>24.9</v>
      </c>
      <c r="K50" s="614">
        <v>51.75</v>
      </c>
      <c r="L50" s="614">
        <v>35</v>
      </c>
      <c r="M50" s="614"/>
      <c r="N50" s="614">
        <v>39.9</v>
      </c>
      <c r="O50" s="614"/>
      <c r="P50" s="400">
        <f>+AVERAGE(J50:O50)</f>
        <v>37.887500000000003</v>
      </c>
      <c r="Q50" s="400">
        <f t="shared" si="22"/>
        <v>37.450000000000003</v>
      </c>
      <c r="R50" s="400">
        <f t="shared" ref="R50" si="24">SMALL(P50:Q50,1)</f>
        <v>37.450000000000003</v>
      </c>
      <c r="S50" s="400">
        <f t="shared" si="20"/>
        <v>74.900000000000006</v>
      </c>
    </row>
    <row r="51" spans="1:21" ht="44.25" customHeight="1">
      <c r="D51" s="220" t="s">
        <v>728</v>
      </c>
      <c r="E51" s="220">
        <v>2</v>
      </c>
      <c r="F51" s="220">
        <v>1</v>
      </c>
      <c r="G51" s="838" t="s">
        <v>1281</v>
      </c>
      <c r="H51" s="839" t="s">
        <v>1151</v>
      </c>
      <c r="I51" s="399">
        <f t="shared" si="21"/>
        <v>3</v>
      </c>
      <c r="J51" s="614">
        <v>9.9</v>
      </c>
      <c r="K51" s="614">
        <v>24.9</v>
      </c>
      <c r="L51" s="614"/>
      <c r="M51" s="614"/>
      <c r="N51" s="614">
        <v>22</v>
      </c>
      <c r="O51" s="614"/>
      <c r="P51" s="400">
        <f t="shared" si="19"/>
        <v>18.933333333333334</v>
      </c>
      <c r="Q51" s="400">
        <f t="shared" si="22"/>
        <v>22</v>
      </c>
      <c r="R51" s="400">
        <f t="shared" ref="R51" si="25">SMALL(P51:Q51,1)</f>
        <v>18.933333333333334</v>
      </c>
      <c r="S51" s="400">
        <f t="shared" si="20"/>
        <v>56.8</v>
      </c>
    </row>
    <row r="52" spans="1:21" ht="40.5" customHeight="1">
      <c r="D52" s="841" t="s">
        <v>729</v>
      </c>
      <c r="E52" s="841"/>
      <c r="F52" s="841"/>
      <c r="G52" s="841"/>
      <c r="H52" s="841"/>
      <c r="I52" s="225">
        <f>+SUM(S45:S51)/12</f>
        <v>211.52777777777783</v>
      </c>
      <c r="J52" s="401"/>
      <c r="K52" s="401"/>
      <c r="L52" s="401"/>
      <c r="M52" s="401"/>
      <c r="N52" s="401"/>
      <c r="O52" s="401"/>
      <c r="P52" s="401"/>
      <c r="Q52" s="401"/>
      <c r="R52" s="401"/>
    </row>
    <row r="53" spans="1:21" ht="21" customHeight="1">
      <c r="D53" s="202"/>
      <c r="E53" s="202"/>
      <c r="F53" s="202"/>
      <c r="G53" s="202"/>
      <c r="H53" s="202"/>
      <c r="I53" s="202"/>
      <c r="J53" s="202"/>
      <c r="K53" s="202"/>
      <c r="L53" s="202"/>
      <c r="M53" s="202"/>
      <c r="N53" s="202"/>
      <c r="O53" s="202"/>
      <c r="P53" s="202"/>
      <c r="Q53" s="202"/>
      <c r="R53" s="202"/>
    </row>
    <row r="54" spans="1:21" ht="33" customHeight="1">
      <c r="D54" s="860" t="s">
        <v>1254</v>
      </c>
      <c r="E54" s="861"/>
      <c r="F54" s="861"/>
      <c r="G54" s="861"/>
      <c r="H54" s="861"/>
      <c r="I54" s="861"/>
      <c r="J54" s="837" t="s">
        <v>1183</v>
      </c>
      <c r="K54" s="837" t="s">
        <v>1189</v>
      </c>
      <c r="L54" s="837" t="s">
        <v>1305</v>
      </c>
      <c r="M54" s="837" t="s">
        <v>1303</v>
      </c>
      <c r="N54" s="837" t="s">
        <v>1304</v>
      </c>
      <c r="O54" s="837" t="s">
        <v>1306</v>
      </c>
      <c r="P54" s="837" t="s">
        <v>714</v>
      </c>
      <c r="Q54" s="837" t="s">
        <v>715</v>
      </c>
      <c r="R54" s="837" t="s">
        <v>1252</v>
      </c>
      <c r="S54" s="837" t="s">
        <v>1253</v>
      </c>
    </row>
    <row r="55" spans="1:21" ht="24" customHeight="1">
      <c r="D55" s="847" t="s">
        <v>716</v>
      </c>
      <c r="E55" s="848" t="s">
        <v>717</v>
      </c>
      <c r="F55" s="849"/>
      <c r="G55" s="850" t="s">
        <v>718</v>
      </c>
      <c r="H55" s="851"/>
      <c r="I55" s="599" t="s">
        <v>719</v>
      </c>
      <c r="J55" s="837"/>
      <c r="K55" s="837"/>
      <c r="L55" s="837"/>
      <c r="M55" s="837"/>
      <c r="N55" s="837"/>
      <c r="O55" s="837"/>
      <c r="P55" s="837"/>
      <c r="Q55" s="837"/>
      <c r="R55" s="837"/>
      <c r="S55" s="837"/>
      <c r="T55" s="401"/>
      <c r="U55" s="401"/>
    </row>
    <row r="56" spans="1:21" ht="17.25" customHeight="1">
      <c r="D56" s="847"/>
      <c r="E56" s="856" t="s">
        <v>720</v>
      </c>
      <c r="F56" s="856" t="s">
        <v>721</v>
      </c>
      <c r="G56" s="852"/>
      <c r="H56" s="853"/>
      <c r="I56" s="858" t="s">
        <v>722</v>
      </c>
      <c r="J56" s="837"/>
      <c r="K56" s="837"/>
      <c r="L56" s="837"/>
      <c r="M56" s="837" t="s">
        <v>712</v>
      </c>
      <c r="N56" s="837" t="s">
        <v>713</v>
      </c>
      <c r="O56" s="837"/>
      <c r="P56" s="837" t="s">
        <v>723</v>
      </c>
      <c r="Q56" s="837" t="s">
        <v>715</v>
      </c>
      <c r="R56" s="837" t="s">
        <v>724</v>
      </c>
      <c r="S56" s="837" t="s">
        <v>724</v>
      </c>
      <c r="T56" s="401"/>
      <c r="U56" s="401"/>
    </row>
    <row r="57" spans="1:21">
      <c r="D57" s="603" t="s">
        <v>725</v>
      </c>
      <c r="E57" s="857"/>
      <c r="F57" s="857"/>
      <c r="G57" s="854"/>
      <c r="H57" s="855"/>
      <c r="I57" s="859"/>
      <c r="J57" s="837"/>
      <c r="K57" s="837"/>
      <c r="L57" s="837"/>
      <c r="M57" s="837"/>
      <c r="N57" s="837"/>
      <c r="O57" s="837"/>
      <c r="P57" s="837"/>
      <c r="Q57" s="837"/>
      <c r="R57" s="837"/>
      <c r="S57" s="837"/>
    </row>
    <row r="58" spans="1:21" ht="40.5" customHeight="1">
      <c r="D58" s="608" t="s">
        <v>1155</v>
      </c>
      <c r="E58" s="608">
        <v>2</v>
      </c>
      <c r="F58" s="608">
        <v>2</v>
      </c>
      <c r="G58" s="842" t="s">
        <v>1298</v>
      </c>
      <c r="H58" s="843" t="s">
        <v>1169</v>
      </c>
      <c r="I58" s="609">
        <f>E58+F58</f>
        <v>4</v>
      </c>
      <c r="J58" s="614">
        <v>89.9</v>
      </c>
      <c r="K58" s="614">
        <v>74</v>
      </c>
      <c r="L58" s="614">
        <v>149</v>
      </c>
      <c r="M58" s="614">
        <v>99.9</v>
      </c>
      <c r="N58" s="614">
        <v>129.9</v>
      </c>
      <c r="O58" s="614">
        <v>90</v>
      </c>
      <c r="P58" s="400">
        <f t="shared" ref="P58:P65" si="26">+AVERAGE(J58:O58)</f>
        <v>105.44999999999999</v>
      </c>
      <c r="Q58" s="400">
        <f t="shared" ref="Q58:Q65" si="27">MEDIAN(J58:O58)</f>
        <v>94.95</v>
      </c>
      <c r="R58" s="400">
        <f>SMALL(P58:Q58,1)</f>
        <v>94.95</v>
      </c>
      <c r="S58" s="400">
        <f t="shared" ref="S58:S66" si="28">+R58*I58</f>
        <v>379.8</v>
      </c>
    </row>
    <row r="59" spans="1:21" ht="49.5" customHeight="1">
      <c r="D59" s="608" t="s">
        <v>1274</v>
      </c>
      <c r="E59" s="608">
        <v>2</v>
      </c>
      <c r="F59" s="608">
        <v>2</v>
      </c>
      <c r="G59" s="842" t="s">
        <v>1294</v>
      </c>
      <c r="H59" s="843"/>
      <c r="I59" s="609">
        <v>4</v>
      </c>
      <c r="J59" s="614">
        <v>199.9</v>
      </c>
      <c r="K59" s="614">
        <v>350</v>
      </c>
      <c r="L59" s="614">
        <v>299</v>
      </c>
      <c r="M59" s="614">
        <v>380</v>
      </c>
      <c r="N59" s="614">
        <v>239.9</v>
      </c>
      <c r="O59" s="614">
        <v>139.9</v>
      </c>
      <c r="P59" s="400">
        <f t="shared" si="26"/>
        <v>268.11666666666673</v>
      </c>
      <c r="Q59" s="400">
        <f>MEDIAN(J59:O59)</f>
        <v>269.45</v>
      </c>
      <c r="R59" s="400">
        <f>SMALL(P59:Q59,1)</f>
        <v>268.11666666666673</v>
      </c>
      <c r="S59" s="400">
        <f t="shared" si="28"/>
        <v>1072.4666666666669</v>
      </c>
    </row>
    <row r="60" spans="1:21" ht="37.5" customHeight="1">
      <c r="D60" s="220" t="s">
        <v>726</v>
      </c>
      <c r="E60" s="220">
        <v>2</v>
      </c>
      <c r="F60" s="220">
        <v>2</v>
      </c>
      <c r="G60" s="838" t="s">
        <v>1284</v>
      </c>
      <c r="H60" s="839" t="s">
        <v>1170</v>
      </c>
      <c r="I60" s="399">
        <f t="shared" ref="I60:I61" si="29">E60+F60</f>
        <v>4</v>
      </c>
      <c r="J60" s="614">
        <v>78.900000000000006</v>
      </c>
      <c r="K60" s="614">
        <v>84</v>
      </c>
      <c r="L60" s="614">
        <v>129</v>
      </c>
      <c r="M60" s="614">
        <v>149</v>
      </c>
      <c r="N60" s="614">
        <v>119.9</v>
      </c>
      <c r="O60" s="614">
        <v>69.900000000000006</v>
      </c>
      <c r="P60" s="400">
        <f>+AVERAGE(J60:O60)</f>
        <v>105.11666666666666</v>
      </c>
      <c r="Q60" s="400">
        <f t="shared" si="27"/>
        <v>101.95</v>
      </c>
      <c r="R60" s="400">
        <f t="shared" ref="R60:R61" si="30">SMALL(P60:Q60,1)</f>
        <v>101.95</v>
      </c>
      <c r="S60" s="400">
        <f t="shared" si="28"/>
        <v>407.8</v>
      </c>
    </row>
    <row r="61" spans="1:21" ht="37.5" customHeight="1">
      <c r="A61" s="202" t="s">
        <v>1273</v>
      </c>
      <c r="D61" s="604" t="s">
        <v>1260</v>
      </c>
      <c r="E61" s="220">
        <v>1</v>
      </c>
      <c r="F61" s="220">
        <v>1</v>
      </c>
      <c r="G61" s="840" t="s">
        <v>1268</v>
      </c>
      <c r="H61" s="839"/>
      <c r="I61" s="399">
        <f t="shared" si="29"/>
        <v>2</v>
      </c>
      <c r="J61" s="614">
        <v>21</v>
      </c>
      <c r="K61" s="614">
        <v>50</v>
      </c>
      <c r="L61" s="614">
        <v>45</v>
      </c>
      <c r="M61" s="614"/>
      <c r="N61" s="614">
        <v>89.9</v>
      </c>
      <c r="O61" s="614"/>
      <c r="P61" s="400">
        <f t="shared" si="26"/>
        <v>51.475000000000001</v>
      </c>
      <c r="Q61" s="400">
        <f t="shared" si="27"/>
        <v>47.5</v>
      </c>
      <c r="R61" s="400">
        <f t="shared" si="30"/>
        <v>47.5</v>
      </c>
      <c r="S61" s="400">
        <f t="shared" si="28"/>
        <v>95</v>
      </c>
    </row>
    <row r="62" spans="1:21" ht="37.5" customHeight="1">
      <c r="D62" s="604" t="s">
        <v>1261</v>
      </c>
      <c r="E62" s="220">
        <v>2</v>
      </c>
      <c r="F62" s="220">
        <v>2</v>
      </c>
      <c r="G62" s="840" t="s">
        <v>1297</v>
      </c>
      <c r="H62" s="839"/>
      <c r="I62" s="399">
        <v>4</v>
      </c>
      <c r="J62" s="614">
        <v>59.9</v>
      </c>
      <c r="K62" s="614">
        <v>120</v>
      </c>
      <c r="L62" s="614">
        <v>89</v>
      </c>
      <c r="M62" s="614">
        <v>48.9</v>
      </c>
      <c r="N62" s="614"/>
      <c r="O62" s="614">
        <v>35</v>
      </c>
      <c r="P62" s="400">
        <f t="shared" si="26"/>
        <v>70.559999999999988</v>
      </c>
      <c r="Q62" s="400">
        <f t="shared" si="27"/>
        <v>59.9</v>
      </c>
      <c r="R62" s="400">
        <f>SMALL(P62:Q62,1)</f>
        <v>59.9</v>
      </c>
      <c r="S62" s="400">
        <f t="shared" si="28"/>
        <v>239.6</v>
      </c>
    </row>
    <row r="63" spans="1:21" ht="27.75" customHeight="1">
      <c r="D63" s="604" t="s">
        <v>1275</v>
      </c>
      <c r="E63" s="220">
        <v>1</v>
      </c>
      <c r="F63" s="220">
        <v>1</v>
      </c>
      <c r="G63" s="840" t="s">
        <v>1276</v>
      </c>
      <c r="H63" s="839"/>
      <c r="I63" s="399">
        <v>2</v>
      </c>
      <c r="J63" s="614">
        <v>5.5</v>
      </c>
      <c r="K63" s="614">
        <v>49</v>
      </c>
      <c r="L63" s="614">
        <v>22</v>
      </c>
      <c r="M63" s="614"/>
      <c r="N63" s="614"/>
      <c r="O63" s="614"/>
      <c r="P63" s="400">
        <f t="shared" si="26"/>
        <v>25.5</v>
      </c>
      <c r="Q63" s="400">
        <f t="shared" si="27"/>
        <v>22</v>
      </c>
      <c r="R63" s="400">
        <f t="shared" ref="R63:R64" si="31">SMALL(P63:Q63,1)</f>
        <v>22</v>
      </c>
      <c r="S63" s="400">
        <f t="shared" si="28"/>
        <v>44</v>
      </c>
    </row>
    <row r="64" spans="1:21" ht="27.75" customHeight="1">
      <c r="D64" s="604" t="s">
        <v>1269</v>
      </c>
      <c r="E64" s="220">
        <v>1</v>
      </c>
      <c r="F64" s="220">
        <v>1</v>
      </c>
      <c r="G64" s="840" t="s">
        <v>1270</v>
      </c>
      <c r="H64" s="839"/>
      <c r="I64" s="399">
        <v>2</v>
      </c>
      <c r="J64" s="614">
        <v>5.5</v>
      </c>
      <c r="K64" s="614">
        <v>55</v>
      </c>
      <c r="L64" s="614">
        <v>35</v>
      </c>
      <c r="M64" s="614"/>
      <c r="N64" s="614"/>
      <c r="O64" s="614"/>
      <c r="P64" s="400">
        <f t="shared" si="26"/>
        <v>31.833333333333332</v>
      </c>
      <c r="Q64" s="400">
        <f t="shared" si="27"/>
        <v>35</v>
      </c>
      <c r="R64" s="400">
        <f t="shared" si="31"/>
        <v>31.833333333333332</v>
      </c>
      <c r="S64" s="400">
        <f t="shared" si="28"/>
        <v>63.666666666666664</v>
      </c>
    </row>
    <row r="65" spans="4:19" ht="106.5" customHeight="1">
      <c r="D65" s="220" t="s">
        <v>1147</v>
      </c>
      <c r="E65" s="220">
        <v>2</v>
      </c>
      <c r="F65" s="220">
        <v>1</v>
      </c>
      <c r="G65" s="838" t="s">
        <v>1295</v>
      </c>
      <c r="H65" s="839" t="s">
        <v>1171</v>
      </c>
      <c r="I65" s="399">
        <f t="shared" ref="I65:I66" si="32">E65+F65</f>
        <v>3</v>
      </c>
      <c r="J65" s="614">
        <v>65.099999999999994</v>
      </c>
      <c r="K65" s="614">
        <v>110</v>
      </c>
      <c r="L65" s="614">
        <v>199</v>
      </c>
      <c r="M65" s="614"/>
      <c r="N65" s="614">
        <v>149.9</v>
      </c>
      <c r="O65" s="614"/>
      <c r="P65" s="400">
        <f t="shared" si="26"/>
        <v>131</v>
      </c>
      <c r="Q65" s="400">
        <f t="shared" si="27"/>
        <v>129.94999999999999</v>
      </c>
      <c r="R65" s="400">
        <f t="shared" ref="R65:R66" si="33">SMALL(P65:Q65,1)</f>
        <v>129.94999999999999</v>
      </c>
      <c r="S65" s="400">
        <f t="shared" si="28"/>
        <v>389.84999999999997</v>
      </c>
    </row>
    <row r="66" spans="4:19" ht="37.5" customHeight="1">
      <c r="D66" s="605" t="s">
        <v>728</v>
      </c>
      <c r="E66" s="605">
        <v>2</v>
      </c>
      <c r="F66" s="605">
        <v>1</v>
      </c>
      <c r="G66" s="863" t="s">
        <v>1296</v>
      </c>
      <c r="H66" s="864" t="s">
        <v>1164</v>
      </c>
      <c r="I66" s="606">
        <f t="shared" si="32"/>
        <v>3</v>
      </c>
      <c r="J66" s="614">
        <v>9.9</v>
      </c>
      <c r="K66" s="614">
        <v>24.9</v>
      </c>
      <c r="L66" s="614">
        <v>39</v>
      </c>
      <c r="M66" s="614"/>
      <c r="N66" s="614">
        <v>22</v>
      </c>
      <c r="O66" s="614"/>
      <c r="P66" s="400">
        <f>+AVERAGE(J66:O66)</f>
        <v>23.95</v>
      </c>
      <c r="Q66" s="400">
        <f>MEDIAN(J66:O66)</f>
        <v>23.45</v>
      </c>
      <c r="R66" s="400">
        <f t="shared" si="33"/>
        <v>23.45</v>
      </c>
      <c r="S66" s="400">
        <f t="shared" si="28"/>
        <v>70.349999999999994</v>
      </c>
    </row>
    <row r="67" spans="4:19" ht="23.25" customHeight="1">
      <c r="D67" s="846" t="s">
        <v>729</v>
      </c>
      <c r="E67" s="846"/>
      <c r="F67" s="846"/>
      <c r="G67" s="846"/>
      <c r="H67" s="846"/>
      <c r="I67" s="607">
        <f>+SUM(S58:S66)/12</f>
        <v>230.21111111111111</v>
      </c>
      <c r="J67" s="401"/>
      <c r="K67" s="401"/>
      <c r="L67" s="401"/>
      <c r="M67" s="401"/>
      <c r="N67" s="401"/>
      <c r="O67" s="401"/>
      <c r="P67" s="401"/>
      <c r="Q67" s="401"/>
      <c r="R67" s="401"/>
    </row>
    <row r="68" spans="4:19" ht="21" customHeight="1">
      <c r="D68" s="221"/>
      <c r="E68" s="221"/>
      <c r="F68" s="221"/>
      <c r="G68" s="221"/>
      <c r="H68" s="221"/>
      <c r="I68" s="226"/>
      <c r="J68" s="401"/>
      <c r="K68" s="401"/>
      <c r="L68" s="401"/>
      <c r="M68" s="401"/>
      <c r="N68" s="401"/>
      <c r="O68" s="401"/>
      <c r="P68" s="401"/>
      <c r="Q68" s="401"/>
      <c r="R68" s="401"/>
    </row>
    <row r="69" spans="4:19" ht="57.75" customHeight="1">
      <c r="D69" s="862" t="s">
        <v>1266</v>
      </c>
      <c r="E69" s="846"/>
      <c r="F69" s="846"/>
      <c r="G69" s="846"/>
      <c r="H69" s="846"/>
      <c r="I69" s="846"/>
      <c r="J69" s="837" t="s">
        <v>1183</v>
      </c>
      <c r="K69" s="837" t="s">
        <v>1189</v>
      </c>
      <c r="L69" s="837" t="s">
        <v>1305</v>
      </c>
      <c r="M69" s="837" t="s">
        <v>1303</v>
      </c>
      <c r="N69" s="837" t="s">
        <v>1304</v>
      </c>
      <c r="O69" s="837" t="s">
        <v>1306</v>
      </c>
      <c r="P69" s="837" t="s">
        <v>714</v>
      </c>
      <c r="Q69" s="837" t="s">
        <v>715</v>
      </c>
      <c r="R69" s="837" t="s">
        <v>1252</v>
      </c>
      <c r="S69" s="837" t="s">
        <v>1253</v>
      </c>
    </row>
    <row r="70" spans="4:19" ht="24.75" customHeight="1">
      <c r="D70" s="844" t="s">
        <v>716</v>
      </c>
      <c r="E70" s="845" t="s">
        <v>717</v>
      </c>
      <c r="F70" s="845"/>
      <c r="G70" s="845" t="s">
        <v>718</v>
      </c>
      <c r="H70" s="845"/>
      <c r="I70" s="611" t="s">
        <v>719</v>
      </c>
      <c r="J70" s="837"/>
      <c r="K70" s="837"/>
      <c r="L70" s="837"/>
      <c r="M70" s="837"/>
      <c r="N70" s="837"/>
      <c r="O70" s="837"/>
      <c r="P70" s="837"/>
      <c r="Q70" s="837"/>
      <c r="R70" s="837"/>
      <c r="S70" s="837"/>
    </row>
    <row r="71" spans="4:19" ht="12.75" customHeight="1">
      <c r="D71" s="844"/>
      <c r="E71" s="845" t="s">
        <v>720</v>
      </c>
      <c r="F71" s="845" t="s">
        <v>721</v>
      </c>
      <c r="G71" s="845"/>
      <c r="H71" s="845"/>
      <c r="I71" s="837" t="s">
        <v>722</v>
      </c>
      <c r="J71" s="837"/>
      <c r="K71" s="837"/>
      <c r="L71" s="837"/>
      <c r="M71" s="837" t="s">
        <v>712</v>
      </c>
      <c r="N71" s="837" t="s">
        <v>713</v>
      </c>
      <c r="O71" s="837"/>
      <c r="P71" s="837" t="s">
        <v>723</v>
      </c>
      <c r="Q71" s="837" t="s">
        <v>715</v>
      </c>
      <c r="R71" s="837" t="s">
        <v>724</v>
      </c>
      <c r="S71" s="837" t="s">
        <v>724</v>
      </c>
    </row>
    <row r="72" spans="4:19">
      <c r="D72" s="612" t="s">
        <v>1267</v>
      </c>
      <c r="E72" s="845"/>
      <c r="F72" s="845"/>
      <c r="G72" s="845"/>
      <c r="H72" s="845"/>
      <c r="I72" s="837"/>
      <c r="J72" s="837"/>
      <c r="K72" s="837"/>
      <c r="L72" s="837"/>
      <c r="M72" s="837"/>
      <c r="N72" s="837"/>
      <c r="O72" s="837"/>
      <c r="P72" s="837"/>
      <c r="Q72" s="837"/>
      <c r="R72" s="837"/>
      <c r="S72" s="837"/>
    </row>
    <row r="73" spans="4:19" ht="45.75" customHeight="1">
      <c r="D73" s="608" t="s">
        <v>1155</v>
      </c>
      <c r="E73" s="608">
        <v>2</v>
      </c>
      <c r="F73" s="608">
        <v>2</v>
      </c>
      <c r="G73" s="842" t="s">
        <v>1293</v>
      </c>
      <c r="H73" s="843" t="s">
        <v>1169</v>
      </c>
      <c r="I73" s="609">
        <f>E73+F73</f>
        <v>4</v>
      </c>
      <c r="J73" s="615">
        <v>65.900000000000006</v>
      </c>
      <c r="K73" s="615">
        <v>74</v>
      </c>
      <c r="L73" s="615">
        <v>149</v>
      </c>
      <c r="M73" s="615">
        <v>99.9</v>
      </c>
      <c r="N73" s="615">
        <v>139.9</v>
      </c>
      <c r="O73" s="615">
        <v>78</v>
      </c>
      <c r="P73" s="400">
        <f t="shared" ref="P73:P80" si="34">+AVERAGE(J73:O73)</f>
        <v>101.11666666666666</v>
      </c>
      <c r="Q73" s="610">
        <f>MEDIAN(J73:O73)</f>
        <v>88.95</v>
      </c>
      <c r="R73" s="610">
        <f>SMALL(P73:Q73,1)</f>
        <v>88.95</v>
      </c>
      <c r="S73" s="610">
        <f t="shared" ref="S73:S81" si="35">+R73*I73</f>
        <v>355.8</v>
      </c>
    </row>
    <row r="74" spans="4:19" ht="38.25" customHeight="1">
      <c r="D74" s="608" t="s">
        <v>1274</v>
      </c>
      <c r="E74" s="608">
        <v>2</v>
      </c>
      <c r="F74" s="608">
        <v>2</v>
      </c>
      <c r="G74" s="842" t="s">
        <v>1289</v>
      </c>
      <c r="H74" s="843"/>
      <c r="I74" s="609">
        <v>4</v>
      </c>
      <c r="J74" s="615">
        <v>129.9</v>
      </c>
      <c r="K74" s="615">
        <v>350</v>
      </c>
      <c r="L74" s="615">
        <v>299</v>
      </c>
      <c r="M74" s="615">
        <v>380</v>
      </c>
      <c r="N74" s="615">
        <v>299.89999999999998</v>
      </c>
      <c r="O74" s="615">
        <v>99.9</v>
      </c>
      <c r="P74" s="400">
        <f t="shared" si="34"/>
        <v>259.78333333333336</v>
      </c>
      <c r="Q74" s="610">
        <f t="shared" ref="Q74:Q81" si="36">MEDIAN(J74:O74)</f>
        <v>299.45</v>
      </c>
      <c r="R74" s="610">
        <f>SMALL(P74:Q74,1)</f>
        <v>259.78333333333336</v>
      </c>
      <c r="S74" s="610">
        <f t="shared" si="35"/>
        <v>1039.1333333333334</v>
      </c>
    </row>
    <row r="75" spans="4:19" ht="36" customHeight="1">
      <c r="D75" s="220" t="s">
        <v>726</v>
      </c>
      <c r="E75" s="220">
        <v>2</v>
      </c>
      <c r="F75" s="220">
        <v>2</v>
      </c>
      <c r="G75" s="838" t="s">
        <v>1290</v>
      </c>
      <c r="H75" s="839" t="s">
        <v>1170</v>
      </c>
      <c r="I75" s="399">
        <f t="shared" ref="I75:I81" si="37">E75+F75</f>
        <v>4</v>
      </c>
      <c r="J75" s="614">
        <v>55.1</v>
      </c>
      <c r="K75" s="614">
        <v>84</v>
      </c>
      <c r="L75" s="614">
        <v>129</v>
      </c>
      <c r="M75" s="614">
        <v>149</v>
      </c>
      <c r="N75" s="614">
        <v>169.9</v>
      </c>
      <c r="O75" s="614">
        <v>59.9</v>
      </c>
      <c r="P75" s="400">
        <f t="shared" si="34"/>
        <v>107.81666666666666</v>
      </c>
      <c r="Q75" s="610">
        <f t="shared" si="36"/>
        <v>106.5</v>
      </c>
      <c r="R75" s="400">
        <f t="shared" ref="R75:R81" si="38">SMALL(P75:Q75,1)</f>
        <v>106.5</v>
      </c>
      <c r="S75" s="400">
        <f t="shared" si="35"/>
        <v>426</v>
      </c>
    </row>
    <row r="76" spans="4:19" ht="21" customHeight="1">
      <c r="D76" s="220" t="s">
        <v>1156</v>
      </c>
      <c r="E76" s="220">
        <v>2</v>
      </c>
      <c r="F76" s="220">
        <v>1</v>
      </c>
      <c r="G76" s="838" t="s">
        <v>1162</v>
      </c>
      <c r="H76" s="839" t="s">
        <v>1162</v>
      </c>
      <c r="I76" s="399">
        <f t="shared" si="37"/>
        <v>3</v>
      </c>
      <c r="J76" s="614">
        <v>24.9</v>
      </c>
      <c r="K76" s="614">
        <v>51.75</v>
      </c>
      <c r="L76" s="614">
        <v>35</v>
      </c>
      <c r="M76" s="614"/>
      <c r="N76" s="614">
        <v>39.9</v>
      </c>
      <c r="O76" s="614"/>
      <c r="P76" s="400">
        <f t="shared" si="34"/>
        <v>37.887500000000003</v>
      </c>
      <c r="Q76" s="610">
        <f t="shared" si="36"/>
        <v>37.450000000000003</v>
      </c>
      <c r="R76" s="400">
        <f t="shared" si="38"/>
        <v>37.450000000000003</v>
      </c>
      <c r="S76" s="400">
        <f t="shared" si="35"/>
        <v>112.35000000000001</v>
      </c>
    </row>
    <row r="77" spans="4:19" ht="36" customHeight="1">
      <c r="D77" s="604" t="s">
        <v>1261</v>
      </c>
      <c r="E77" s="220">
        <v>2</v>
      </c>
      <c r="F77" s="220">
        <v>2</v>
      </c>
      <c r="G77" s="840" t="s">
        <v>1297</v>
      </c>
      <c r="H77" s="839"/>
      <c r="I77" s="399">
        <v>4</v>
      </c>
      <c r="J77" s="614">
        <v>45.9</v>
      </c>
      <c r="K77" s="614">
        <v>120</v>
      </c>
      <c r="L77" s="614">
        <v>89</v>
      </c>
      <c r="M77" s="614">
        <v>48.9</v>
      </c>
      <c r="N77" s="614"/>
      <c r="O77" s="614">
        <v>35</v>
      </c>
      <c r="P77" s="400">
        <f t="shared" si="34"/>
        <v>67.760000000000005</v>
      </c>
      <c r="Q77" s="610">
        <f t="shared" si="36"/>
        <v>48.9</v>
      </c>
      <c r="R77" s="400">
        <f t="shared" ref="R77:R79" si="39">SMALL(P77:Q77,1)</f>
        <v>48.9</v>
      </c>
      <c r="S77" s="400">
        <f t="shared" si="35"/>
        <v>195.6</v>
      </c>
    </row>
    <row r="78" spans="4:19" ht="36.75" customHeight="1">
      <c r="D78" s="604" t="s">
        <v>1271</v>
      </c>
      <c r="E78" s="220">
        <v>1</v>
      </c>
      <c r="F78" s="220">
        <v>1</v>
      </c>
      <c r="G78" s="840" t="s">
        <v>1272</v>
      </c>
      <c r="H78" s="839"/>
      <c r="I78" s="399">
        <v>2</v>
      </c>
      <c r="J78" s="614">
        <v>4.5</v>
      </c>
      <c r="K78" s="614">
        <v>49</v>
      </c>
      <c r="L78" s="614">
        <v>22</v>
      </c>
      <c r="M78" s="614"/>
      <c r="N78" s="614"/>
      <c r="O78" s="614"/>
      <c r="P78" s="400">
        <f t="shared" si="34"/>
        <v>25.166666666666668</v>
      </c>
      <c r="Q78" s="610">
        <f t="shared" si="36"/>
        <v>22</v>
      </c>
      <c r="R78" s="400">
        <f t="shared" si="39"/>
        <v>22</v>
      </c>
      <c r="S78" s="400">
        <f t="shared" si="35"/>
        <v>44</v>
      </c>
    </row>
    <row r="79" spans="4:19" ht="32.25" customHeight="1">
      <c r="D79" s="604" t="s">
        <v>1269</v>
      </c>
      <c r="E79" s="220">
        <v>1</v>
      </c>
      <c r="F79" s="220">
        <v>1</v>
      </c>
      <c r="G79" s="840" t="s">
        <v>1270</v>
      </c>
      <c r="H79" s="839"/>
      <c r="I79" s="399">
        <v>2</v>
      </c>
      <c r="J79" s="614">
        <v>5.5</v>
      </c>
      <c r="K79" s="614">
        <v>55</v>
      </c>
      <c r="L79" s="614">
        <v>35</v>
      </c>
      <c r="M79" s="614"/>
      <c r="N79" s="614"/>
      <c r="O79" s="614"/>
      <c r="P79" s="400">
        <f t="shared" si="34"/>
        <v>31.833333333333332</v>
      </c>
      <c r="Q79" s="610">
        <f t="shared" si="36"/>
        <v>35</v>
      </c>
      <c r="R79" s="400">
        <f t="shared" si="39"/>
        <v>31.833333333333332</v>
      </c>
      <c r="S79" s="400">
        <f t="shared" si="35"/>
        <v>63.666666666666664</v>
      </c>
    </row>
    <row r="80" spans="4:19" ht="71.25" customHeight="1">
      <c r="D80" s="220" t="s">
        <v>1147</v>
      </c>
      <c r="E80" s="220">
        <v>2</v>
      </c>
      <c r="F80" s="220">
        <v>1</v>
      </c>
      <c r="G80" s="838" t="s">
        <v>1292</v>
      </c>
      <c r="H80" s="839" t="s">
        <v>1171</v>
      </c>
      <c r="I80" s="399">
        <f t="shared" si="37"/>
        <v>3</v>
      </c>
      <c r="J80" s="614">
        <v>65.099999999999994</v>
      </c>
      <c r="K80" s="614">
        <v>110</v>
      </c>
      <c r="L80" s="614">
        <v>199</v>
      </c>
      <c r="M80" s="614"/>
      <c r="N80" s="614">
        <v>195.9</v>
      </c>
      <c r="O80" s="614"/>
      <c r="P80" s="400">
        <f t="shared" si="34"/>
        <v>142.5</v>
      </c>
      <c r="Q80" s="610">
        <f t="shared" si="36"/>
        <v>152.94999999999999</v>
      </c>
      <c r="R80" s="400">
        <f t="shared" si="38"/>
        <v>142.5</v>
      </c>
      <c r="S80" s="400">
        <f t="shared" si="35"/>
        <v>427.5</v>
      </c>
    </row>
    <row r="81" spans="4:19" ht="42.75" customHeight="1">
      <c r="D81" s="220" t="s">
        <v>728</v>
      </c>
      <c r="E81" s="220">
        <v>2</v>
      </c>
      <c r="F81" s="220">
        <v>1</v>
      </c>
      <c r="G81" s="838" t="s">
        <v>1291</v>
      </c>
      <c r="H81" s="839" t="s">
        <v>1164</v>
      </c>
      <c r="I81" s="399">
        <f t="shared" si="37"/>
        <v>3</v>
      </c>
      <c r="J81" s="614">
        <v>9.9</v>
      </c>
      <c r="K81" s="614">
        <v>19.899999999999999</v>
      </c>
      <c r="L81" s="614"/>
      <c r="M81" s="614"/>
      <c r="N81" s="614">
        <v>22</v>
      </c>
      <c r="O81" s="614"/>
      <c r="P81" s="400">
        <f>+AVERAGE(J81:O81)</f>
        <v>17.266666666666666</v>
      </c>
      <c r="Q81" s="610">
        <f t="shared" si="36"/>
        <v>19.899999999999999</v>
      </c>
      <c r="R81" s="400">
        <f t="shared" si="38"/>
        <v>17.266666666666666</v>
      </c>
      <c r="S81" s="400">
        <f t="shared" si="35"/>
        <v>51.8</v>
      </c>
    </row>
    <row r="82" spans="4:19" ht="27" customHeight="1">
      <c r="D82" s="841" t="s">
        <v>729</v>
      </c>
      <c r="E82" s="841"/>
      <c r="F82" s="841"/>
      <c r="G82" s="841"/>
      <c r="H82" s="841"/>
      <c r="I82" s="225">
        <f>+SUM(S73:S81)/12</f>
        <v>226.32083333333333</v>
      </c>
      <c r="J82" s="401"/>
      <c r="K82" s="401"/>
      <c r="L82" s="401"/>
      <c r="M82" s="401"/>
      <c r="N82" s="401"/>
      <c r="O82" s="401"/>
      <c r="P82" s="401"/>
      <c r="Q82" s="401"/>
      <c r="R82" s="401"/>
    </row>
    <row r="83" spans="4:19">
      <c r="D83" s="221"/>
      <c r="E83" s="221"/>
      <c r="F83" s="221"/>
      <c r="G83" s="221"/>
      <c r="H83" s="221"/>
      <c r="I83" s="226"/>
      <c r="J83" s="226"/>
      <c r="K83" s="226"/>
      <c r="L83" s="226"/>
      <c r="M83" s="226"/>
      <c r="N83" s="226"/>
      <c r="O83" s="226"/>
      <c r="P83" s="226"/>
      <c r="Q83" s="226"/>
      <c r="R83" s="226"/>
    </row>
    <row r="84" spans="4:19" ht="29.25" customHeight="1">
      <c r="D84" s="222" t="s">
        <v>23</v>
      </c>
      <c r="E84" s="223"/>
      <c r="F84" s="224"/>
      <c r="G84" s="224"/>
      <c r="H84" s="224"/>
      <c r="I84" s="224"/>
      <c r="J84" s="224"/>
      <c r="K84" s="224"/>
      <c r="L84" s="224"/>
      <c r="M84" s="224"/>
      <c r="N84" s="224"/>
      <c r="O84" s="224"/>
      <c r="P84" s="224"/>
      <c r="Q84" s="224"/>
      <c r="R84" s="224"/>
    </row>
    <row r="85" spans="4:19" ht="42" customHeight="1">
      <c r="D85" s="216">
        <v>1</v>
      </c>
      <c r="E85" s="867" t="s">
        <v>730</v>
      </c>
      <c r="F85" s="868"/>
      <c r="G85" s="868"/>
      <c r="H85" s="868"/>
      <c r="I85" s="869"/>
      <c r="J85" s="401"/>
      <c r="K85" s="401"/>
      <c r="L85" s="401"/>
      <c r="M85" s="401"/>
      <c r="N85" s="401"/>
      <c r="O85" s="401"/>
      <c r="P85" s="401"/>
      <c r="Q85" s="401"/>
      <c r="R85" s="401"/>
    </row>
    <row r="86" spans="4:19" ht="42" customHeight="1">
      <c r="D86" s="216">
        <f t="shared" ref="D86:D90" si="40">D85+1</f>
        <v>2</v>
      </c>
      <c r="E86" s="867" t="s">
        <v>731</v>
      </c>
      <c r="F86" s="868"/>
      <c r="G86" s="868"/>
      <c r="H86" s="868"/>
      <c r="I86" s="869"/>
      <c r="J86" s="401"/>
      <c r="K86" s="401"/>
      <c r="L86" s="401"/>
      <c r="M86" s="401"/>
      <c r="N86" s="401"/>
      <c r="O86" s="401"/>
      <c r="P86" s="401"/>
      <c r="Q86" s="401"/>
      <c r="R86" s="401"/>
    </row>
    <row r="87" spans="4:19" ht="42" customHeight="1">
      <c r="D87" s="216">
        <f t="shared" si="40"/>
        <v>3</v>
      </c>
      <c r="E87" s="867" t="s">
        <v>732</v>
      </c>
      <c r="F87" s="868"/>
      <c r="G87" s="868"/>
      <c r="H87" s="868"/>
      <c r="I87" s="869"/>
      <c r="J87" s="401"/>
      <c r="K87" s="401"/>
      <c r="L87" s="401"/>
      <c r="M87" s="401"/>
      <c r="N87" s="401"/>
      <c r="O87" s="401"/>
      <c r="P87" s="401"/>
      <c r="Q87" s="401"/>
      <c r="R87" s="401"/>
    </row>
    <row r="88" spans="4:19" ht="42" customHeight="1">
      <c r="D88" s="216">
        <f t="shared" si="40"/>
        <v>4</v>
      </c>
      <c r="E88" s="867" t="s">
        <v>733</v>
      </c>
      <c r="F88" s="868"/>
      <c r="G88" s="868"/>
      <c r="H88" s="868"/>
      <c r="I88" s="869"/>
      <c r="J88" s="401"/>
      <c r="K88" s="401"/>
      <c r="L88" s="401"/>
      <c r="M88" s="401"/>
      <c r="N88" s="401"/>
      <c r="O88" s="401"/>
      <c r="P88" s="401"/>
      <c r="Q88" s="401"/>
      <c r="R88" s="401"/>
    </row>
    <row r="89" spans="4:19" ht="42" customHeight="1">
      <c r="D89" s="216">
        <f t="shared" si="40"/>
        <v>5</v>
      </c>
      <c r="E89" s="867" t="s">
        <v>734</v>
      </c>
      <c r="F89" s="868"/>
      <c r="G89" s="868"/>
      <c r="H89" s="868"/>
      <c r="I89" s="869"/>
      <c r="J89" s="401"/>
      <c r="K89" s="401"/>
      <c r="L89" s="401"/>
      <c r="M89" s="401"/>
      <c r="N89" s="401"/>
      <c r="O89" s="401"/>
      <c r="P89" s="401"/>
      <c r="Q89" s="401"/>
      <c r="R89" s="401"/>
    </row>
    <row r="90" spans="4:19" ht="65.25" customHeight="1">
      <c r="D90" s="216">
        <f t="shared" si="40"/>
        <v>6</v>
      </c>
      <c r="E90" s="867" t="s">
        <v>1352</v>
      </c>
      <c r="F90" s="868"/>
      <c r="G90" s="868"/>
      <c r="H90" s="868"/>
      <c r="I90" s="869"/>
      <c r="J90" s="401"/>
      <c r="K90" s="401"/>
      <c r="L90" s="401"/>
      <c r="M90" s="401"/>
      <c r="N90" s="401"/>
      <c r="O90" s="401"/>
      <c r="P90" s="401"/>
      <c r="Q90" s="401"/>
      <c r="R90" s="401"/>
    </row>
  </sheetData>
  <mergeCells count="159">
    <mergeCell ref="S3:S6"/>
    <mergeCell ref="G4:H6"/>
    <mergeCell ref="L3:L6"/>
    <mergeCell ref="M3:M6"/>
    <mergeCell ref="N3:N6"/>
    <mergeCell ref="P3:P6"/>
    <mergeCell ref="Q3:Q6"/>
    <mergeCell ref="D3:I3"/>
    <mergeCell ref="E4:F4"/>
    <mergeCell ref="I5:I6"/>
    <mergeCell ref="O3:O6"/>
    <mergeCell ref="J3:J6"/>
    <mergeCell ref="K3:K6"/>
    <mergeCell ref="E89:I89"/>
    <mergeCell ref="E90:I90"/>
    <mergeCell ref="R3:R6"/>
    <mergeCell ref="G11:H11"/>
    <mergeCell ref="D13:H13"/>
    <mergeCell ref="E85:I85"/>
    <mergeCell ref="E86:I86"/>
    <mergeCell ref="G12:H12"/>
    <mergeCell ref="G20:H20"/>
    <mergeCell ref="G21:H21"/>
    <mergeCell ref="G22:H22"/>
    <mergeCell ref="G23:H23"/>
    <mergeCell ref="G24:H24"/>
    <mergeCell ref="D15:I15"/>
    <mergeCell ref="G7:H7"/>
    <mergeCell ref="G8:H8"/>
    <mergeCell ref="G10:H10"/>
    <mergeCell ref="D4:D5"/>
    <mergeCell ref="E5:E6"/>
    <mergeCell ref="F5:F6"/>
    <mergeCell ref="G9:H9"/>
    <mergeCell ref="E87:I87"/>
    <mergeCell ref="E88:I88"/>
    <mergeCell ref="D26:H26"/>
    <mergeCell ref="Q28:Q31"/>
    <mergeCell ref="R28:R31"/>
    <mergeCell ref="G32:H32"/>
    <mergeCell ref="G33:H33"/>
    <mergeCell ref="G25:H25"/>
    <mergeCell ref="D28:I28"/>
    <mergeCell ref="L28:L31"/>
    <mergeCell ref="M28:M31"/>
    <mergeCell ref="S15:S18"/>
    <mergeCell ref="D16:D17"/>
    <mergeCell ref="E16:F16"/>
    <mergeCell ref="G16:H18"/>
    <mergeCell ref="E17:E18"/>
    <mergeCell ref="F17:F18"/>
    <mergeCell ref="I17:I18"/>
    <mergeCell ref="L15:L18"/>
    <mergeCell ref="M15:M18"/>
    <mergeCell ref="N15:N18"/>
    <mergeCell ref="O15:O18"/>
    <mergeCell ref="P15:P18"/>
    <mergeCell ref="Q15:Q18"/>
    <mergeCell ref="R15:R18"/>
    <mergeCell ref="G19:H19"/>
    <mergeCell ref="S28:S31"/>
    <mergeCell ref="F30:F31"/>
    <mergeCell ref="I30:I31"/>
    <mergeCell ref="N28:N31"/>
    <mergeCell ref="O28:O31"/>
    <mergeCell ref="P28:P31"/>
    <mergeCell ref="D29:D30"/>
    <mergeCell ref="E29:F29"/>
    <mergeCell ref="G29:H31"/>
    <mergeCell ref="E30:E31"/>
    <mergeCell ref="D82:H82"/>
    <mergeCell ref="G73:H73"/>
    <mergeCell ref="G75:H75"/>
    <mergeCell ref="G76:H76"/>
    <mergeCell ref="G80:H80"/>
    <mergeCell ref="G81:H81"/>
    <mergeCell ref="G77:H77"/>
    <mergeCell ref="G66:H66"/>
    <mergeCell ref="D67:H67"/>
    <mergeCell ref="G78:H78"/>
    <mergeCell ref="G79:H79"/>
    <mergeCell ref="G74:H74"/>
    <mergeCell ref="R69:R72"/>
    <mergeCell ref="S69:S72"/>
    <mergeCell ref="D70:D71"/>
    <mergeCell ref="E70:F70"/>
    <mergeCell ref="G70:H72"/>
    <mergeCell ref="E71:E72"/>
    <mergeCell ref="F71:F72"/>
    <mergeCell ref="I71:I72"/>
    <mergeCell ref="M69:M72"/>
    <mergeCell ref="N69:N72"/>
    <mergeCell ref="O69:O72"/>
    <mergeCell ref="P69:P72"/>
    <mergeCell ref="Q69:Q72"/>
    <mergeCell ref="D69:I69"/>
    <mergeCell ref="L69:L72"/>
    <mergeCell ref="R54:R57"/>
    <mergeCell ref="S54:S57"/>
    <mergeCell ref="D55:D56"/>
    <mergeCell ref="E55:F55"/>
    <mergeCell ref="G55:H57"/>
    <mergeCell ref="E56:E57"/>
    <mergeCell ref="F56:F57"/>
    <mergeCell ref="I56:I57"/>
    <mergeCell ref="M54:M57"/>
    <mergeCell ref="N54:N57"/>
    <mergeCell ref="O54:O57"/>
    <mergeCell ref="P54:P57"/>
    <mergeCell ref="Q54:Q57"/>
    <mergeCell ref="D54:I54"/>
    <mergeCell ref="L54:L57"/>
    <mergeCell ref="Q41:Q44"/>
    <mergeCell ref="R41:R44"/>
    <mergeCell ref="S41:S44"/>
    <mergeCell ref="D42:D43"/>
    <mergeCell ref="E42:F42"/>
    <mergeCell ref="G42:H44"/>
    <mergeCell ref="E43:E44"/>
    <mergeCell ref="F43:F44"/>
    <mergeCell ref="I43:I44"/>
    <mergeCell ref="L41:L44"/>
    <mergeCell ref="M41:M44"/>
    <mergeCell ref="N41:N44"/>
    <mergeCell ref="O41:O44"/>
    <mergeCell ref="P41:P44"/>
    <mergeCell ref="D41:I41"/>
    <mergeCell ref="G38:H38"/>
    <mergeCell ref="D39:H39"/>
    <mergeCell ref="G61:H61"/>
    <mergeCell ref="G62:H62"/>
    <mergeCell ref="G34:H34"/>
    <mergeCell ref="G35:H35"/>
    <mergeCell ref="G36:H36"/>
    <mergeCell ref="G58:H58"/>
    <mergeCell ref="G60:H60"/>
    <mergeCell ref="G37:H37"/>
    <mergeCell ref="G59:H59"/>
    <mergeCell ref="G65:H65"/>
    <mergeCell ref="G50:H50"/>
    <mergeCell ref="G51:H51"/>
    <mergeCell ref="D52:H52"/>
    <mergeCell ref="G45:H45"/>
    <mergeCell ref="G46:H46"/>
    <mergeCell ref="G47:H47"/>
    <mergeCell ref="G48:H48"/>
    <mergeCell ref="G49:H49"/>
    <mergeCell ref="G63:H63"/>
    <mergeCell ref="G64:H64"/>
    <mergeCell ref="K15:K18"/>
    <mergeCell ref="K28:K31"/>
    <mergeCell ref="K41:K44"/>
    <mergeCell ref="K54:K57"/>
    <mergeCell ref="K69:K72"/>
    <mergeCell ref="J15:J18"/>
    <mergeCell ref="J28:J31"/>
    <mergeCell ref="J41:J44"/>
    <mergeCell ref="J54:J57"/>
    <mergeCell ref="J69:J72"/>
  </mergeCells>
  <printOptions horizontalCentered="1" verticalCentered="1"/>
  <pageMargins left="0.25" right="0.25" top="0.75" bottom="0.75" header="0.3" footer="0.3"/>
  <pageSetup paperSize="9" scale="50" orientation="portrait" r:id="rId1"/>
  <colBreaks count="1" manualBreakCount="1">
    <brk id="1" max="4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AH110"/>
  <sheetViews>
    <sheetView showGridLines="0" topLeftCell="A81" workbookViewId="0">
      <selection activeCell="B34" sqref="B34:X105"/>
    </sheetView>
  </sheetViews>
  <sheetFormatPr defaultColWidth="4.140625" defaultRowHeight="15.75"/>
  <cols>
    <col min="1" max="1" width="4.140625" style="324"/>
    <col min="2" max="2" width="6.7109375" style="323" customWidth="1"/>
    <col min="3" max="3" width="4.140625" style="323" customWidth="1"/>
    <col min="4" max="4" width="9.140625" style="325" customWidth="1"/>
    <col min="5" max="5" width="10.85546875" style="323" customWidth="1"/>
    <col min="6" max="6" width="4.140625" style="326" customWidth="1"/>
    <col min="7" max="7" width="24.140625" style="326" customWidth="1"/>
    <col min="8" max="8" width="4.140625" style="323" customWidth="1"/>
    <col min="9" max="9" width="7.7109375" style="323" customWidth="1"/>
    <col min="10" max="10" width="4.140625" style="326" customWidth="1"/>
    <col min="11" max="11" width="6.7109375" style="323" customWidth="1"/>
    <col min="12" max="12" width="5.28515625" style="323" customWidth="1"/>
    <col min="13" max="13" width="7.28515625" style="323" customWidth="1"/>
    <col min="14" max="14" width="3.7109375" style="323" customWidth="1"/>
    <col min="15" max="15" width="7.42578125" style="323" customWidth="1"/>
    <col min="16" max="16" width="4.140625" style="323" customWidth="1"/>
    <col min="17" max="17" width="8.140625" style="323" customWidth="1"/>
    <col min="18" max="18" width="0.7109375" style="323" customWidth="1"/>
    <col min="19" max="19" width="4.140625" style="323" customWidth="1"/>
    <col min="20" max="20" width="8.7109375" style="327" customWidth="1"/>
    <col min="21" max="21" width="4.140625" style="327" customWidth="1"/>
    <col min="22" max="22" width="4.140625" style="328" customWidth="1"/>
    <col min="23" max="24" width="4.140625" style="329" customWidth="1"/>
    <col min="25" max="25" width="14.85546875" style="330" customWidth="1"/>
    <col min="26" max="26" width="44" style="323" customWidth="1"/>
    <col min="27" max="258" width="4.140625" style="324"/>
    <col min="259" max="281" width="4.140625" style="324" customWidth="1"/>
    <col min="282" max="282" width="6.28515625" style="324" customWidth="1"/>
    <col min="283" max="514" width="4.140625" style="324"/>
    <col min="515" max="537" width="4.140625" style="324" customWidth="1"/>
    <col min="538" max="538" width="6.28515625" style="324" customWidth="1"/>
    <col min="539" max="770" width="4.140625" style="324"/>
    <col min="771" max="793" width="4.140625" style="324" customWidth="1"/>
    <col min="794" max="794" width="6.28515625" style="324" customWidth="1"/>
    <col min="795" max="1026" width="4.140625" style="324"/>
    <col min="1027" max="1049" width="4.140625" style="324" customWidth="1"/>
    <col min="1050" max="1050" width="6.28515625" style="324" customWidth="1"/>
    <col min="1051" max="1282" width="4.140625" style="324"/>
    <col min="1283" max="1305" width="4.140625" style="324" customWidth="1"/>
    <col min="1306" max="1306" width="6.28515625" style="324" customWidth="1"/>
    <col min="1307" max="1538" width="4.140625" style="324"/>
    <col min="1539" max="1561" width="4.140625" style="324" customWidth="1"/>
    <col min="1562" max="1562" width="6.28515625" style="324" customWidth="1"/>
    <col min="1563" max="1794" width="4.140625" style="324"/>
    <col min="1795" max="1817" width="4.140625" style="324" customWidth="1"/>
    <col min="1818" max="1818" width="6.28515625" style="324" customWidth="1"/>
    <col min="1819" max="2050" width="4.140625" style="324"/>
    <col min="2051" max="2073" width="4.140625" style="324" customWidth="1"/>
    <col min="2074" max="2074" width="6.28515625" style="324" customWidth="1"/>
    <col min="2075" max="2306" width="4.140625" style="324"/>
    <col min="2307" max="2329" width="4.140625" style="324" customWidth="1"/>
    <col min="2330" max="2330" width="6.28515625" style="324" customWidth="1"/>
    <col min="2331" max="2562" width="4.140625" style="324"/>
    <col min="2563" max="2585" width="4.140625" style="324" customWidth="1"/>
    <col min="2586" max="2586" width="6.28515625" style="324" customWidth="1"/>
    <col min="2587" max="2818" width="4.140625" style="324"/>
    <col min="2819" max="2841" width="4.140625" style="324" customWidth="1"/>
    <col min="2842" max="2842" width="6.28515625" style="324" customWidth="1"/>
    <col min="2843" max="3074" width="4.140625" style="324"/>
    <col min="3075" max="3097" width="4.140625" style="324" customWidth="1"/>
    <col min="3098" max="3098" width="6.28515625" style="324" customWidth="1"/>
    <col min="3099" max="3330" width="4.140625" style="324"/>
    <col min="3331" max="3353" width="4.140625" style="324" customWidth="1"/>
    <col min="3354" max="3354" width="6.28515625" style="324" customWidth="1"/>
    <col min="3355" max="3586" width="4.140625" style="324"/>
    <col min="3587" max="3609" width="4.140625" style="324" customWidth="1"/>
    <col min="3610" max="3610" width="6.28515625" style="324" customWidth="1"/>
    <col min="3611" max="3842" width="4.140625" style="324"/>
    <col min="3843" max="3865" width="4.140625" style="324" customWidth="1"/>
    <col min="3866" max="3866" width="6.28515625" style="324" customWidth="1"/>
    <col min="3867" max="4098" width="4.140625" style="324"/>
    <col min="4099" max="4121" width="4.140625" style="324" customWidth="1"/>
    <col min="4122" max="4122" width="6.28515625" style="324" customWidth="1"/>
    <col min="4123" max="4354" width="4.140625" style="324"/>
    <col min="4355" max="4377" width="4.140625" style="324" customWidth="1"/>
    <col min="4378" max="4378" width="6.28515625" style="324" customWidth="1"/>
    <col min="4379" max="4610" width="4.140625" style="324"/>
    <col min="4611" max="4633" width="4.140625" style="324" customWidth="1"/>
    <col min="4634" max="4634" width="6.28515625" style="324" customWidth="1"/>
    <col min="4635" max="4866" width="4.140625" style="324"/>
    <col min="4867" max="4889" width="4.140625" style="324" customWidth="1"/>
    <col min="4890" max="4890" width="6.28515625" style="324" customWidth="1"/>
    <col min="4891" max="5122" width="4.140625" style="324"/>
    <col min="5123" max="5145" width="4.140625" style="324" customWidth="1"/>
    <col min="5146" max="5146" width="6.28515625" style="324" customWidth="1"/>
    <col min="5147" max="5378" width="4.140625" style="324"/>
    <col min="5379" max="5401" width="4.140625" style="324" customWidth="1"/>
    <col min="5402" max="5402" width="6.28515625" style="324" customWidth="1"/>
    <col min="5403" max="5634" width="4.140625" style="324"/>
    <col min="5635" max="5657" width="4.140625" style="324" customWidth="1"/>
    <col min="5658" max="5658" width="6.28515625" style="324" customWidth="1"/>
    <col min="5659" max="5890" width="4.140625" style="324"/>
    <col min="5891" max="5913" width="4.140625" style="324" customWidth="1"/>
    <col min="5914" max="5914" width="6.28515625" style="324" customWidth="1"/>
    <col min="5915" max="6146" width="4.140625" style="324"/>
    <col min="6147" max="6169" width="4.140625" style="324" customWidth="1"/>
    <col min="6170" max="6170" width="6.28515625" style="324" customWidth="1"/>
    <col min="6171" max="6402" width="4.140625" style="324"/>
    <col min="6403" max="6425" width="4.140625" style="324" customWidth="1"/>
    <col min="6426" max="6426" width="6.28515625" style="324" customWidth="1"/>
    <col min="6427" max="6658" width="4.140625" style="324"/>
    <col min="6659" max="6681" width="4.140625" style="324" customWidth="1"/>
    <col min="6682" max="6682" width="6.28515625" style="324" customWidth="1"/>
    <col min="6683" max="6914" width="4.140625" style="324"/>
    <col min="6915" max="6937" width="4.140625" style="324" customWidth="1"/>
    <col min="6938" max="6938" width="6.28515625" style="324" customWidth="1"/>
    <col min="6939" max="7170" width="4.140625" style="324"/>
    <col min="7171" max="7193" width="4.140625" style="324" customWidth="1"/>
    <col min="7194" max="7194" width="6.28515625" style="324" customWidth="1"/>
    <col min="7195" max="7426" width="4.140625" style="324"/>
    <col min="7427" max="7449" width="4.140625" style="324" customWidth="1"/>
    <col min="7450" max="7450" width="6.28515625" style="324" customWidth="1"/>
    <col min="7451" max="7682" width="4.140625" style="324"/>
    <col min="7683" max="7705" width="4.140625" style="324" customWidth="1"/>
    <col min="7706" max="7706" width="6.28515625" style="324" customWidth="1"/>
    <col min="7707" max="7938" width="4.140625" style="324"/>
    <col min="7939" max="7961" width="4.140625" style="324" customWidth="1"/>
    <col min="7962" max="7962" width="6.28515625" style="324" customWidth="1"/>
    <col min="7963" max="8194" width="4.140625" style="324"/>
    <col min="8195" max="8217" width="4.140625" style="324" customWidth="1"/>
    <col min="8218" max="8218" width="6.28515625" style="324" customWidth="1"/>
    <col min="8219" max="8450" width="4.140625" style="324"/>
    <col min="8451" max="8473" width="4.140625" style="324" customWidth="1"/>
    <col min="8474" max="8474" width="6.28515625" style="324" customWidth="1"/>
    <col min="8475" max="8706" width="4.140625" style="324"/>
    <col min="8707" max="8729" width="4.140625" style="324" customWidth="1"/>
    <col min="8730" max="8730" width="6.28515625" style="324" customWidth="1"/>
    <col min="8731" max="8962" width="4.140625" style="324"/>
    <col min="8963" max="8985" width="4.140625" style="324" customWidth="1"/>
    <col min="8986" max="8986" width="6.28515625" style="324" customWidth="1"/>
    <col min="8987" max="9218" width="4.140625" style="324"/>
    <col min="9219" max="9241" width="4.140625" style="324" customWidth="1"/>
    <col min="9242" max="9242" width="6.28515625" style="324" customWidth="1"/>
    <col min="9243" max="9474" width="4.140625" style="324"/>
    <col min="9475" max="9497" width="4.140625" style="324" customWidth="1"/>
    <col min="9498" max="9498" width="6.28515625" style="324" customWidth="1"/>
    <col min="9499" max="9730" width="4.140625" style="324"/>
    <col min="9731" max="9753" width="4.140625" style="324" customWidth="1"/>
    <col min="9754" max="9754" width="6.28515625" style="324" customWidth="1"/>
    <col min="9755" max="9986" width="4.140625" style="324"/>
    <col min="9987" max="10009" width="4.140625" style="324" customWidth="1"/>
    <col min="10010" max="10010" width="6.28515625" style="324" customWidth="1"/>
    <col min="10011" max="10242" width="4.140625" style="324"/>
    <col min="10243" max="10265" width="4.140625" style="324" customWidth="1"/>
    <col min="10266" max="10266" width="6.28515625" style="324" customWidth="1"/>
    <col min="10267" max="10498" width="4.140625" style="324"/>
    <col min="10499" max="10521" width="4.140625" style="324" customWidth="1"/>
    <col min="10522" max="10522" width="6.28515625" style="324" customWidth="1"/>
    <col min="10523" max="10754" width="4.140625" style="324"/>
    <col min="10755" max="10777" width="4.140625" style="324" customWidth="1"/>
    <col min="10778" max="10778" width="6.28515625" style="324" customWidth="1"/>
    <col min="10779" max="11010" width="4.140625" style="324"/>
    <col min="11011" max="11033" width="4.140625" style="324" customWidth="1"/>
    <col min="11034" max="11034" width="6.28515625" style="324" customWidth="1"/>
    <col min="11035" max="11266" width="4.140625" style="324"/>
    <col min="11267" max="11289" width="4.140625" style="324" customWidth="1"/>
    <col min="11290" max="11290" width="6.28515625" style="324" customWidth="1"/>
    <col min="11291" max="11522" width="4.140625" style="324"/>
    <col min="11523" max="11545" width="4.140625" style="324" customWidth="1"/>
    <col min="11546" max="11546" width="6.28515625" style="324" customWidth="1"/>
    <col min="11547" max="11778" width="4.140625" style="324"/>
    <col min="11779" max="11801" width="4.140625" style="324" customWidth="1"/>
    <col min="11802" max="11802" width="6.28515625" style="324" customWidth="1"/>
    <col min="11803" max="12034" width="4.140625" style="324"/>
    <col min="12035" max="12057" width="4.140625" style="324" customWidth="1"/>
    <col min="12058" max="12058" width="6.28515625" style="324" customWidth="1"/>
    <col min="12059" max="12290" width="4.140625" style="324"/>
    <col min="12291" max="12313" width="4.140625" style="324" customWidth="1"/>
    <col min="12314" max="12314" width="6.28515625" style="324" customWidth="1"/>
    <col min="12315" max="12546" width="4.140625" style="324"/>
    <col min="12547" max="12569" width="4.140625" style="324" customWidth="1"/>
    <col min="12570" max="12570" width="6.28515625" style="324" customWidth="1"/>
    <col min="12571" max="12802" width="4.140625" style="324"/>
    <col min="12803" max="12825" width="4.140625" style="324" customWidth="1"/>
    <col min="12826" max="12826" width="6.28515625" style="324" customWidth="1"/>
    <col min="12827" max="13058" width="4.140625" style="324"/>
    <col min="13059" max="13081" width="4.140625" style="324" customWidth="1"/>
    <col min="13082" max="13082" width="6.28515625" style="324" customWidth="1"/>
    <col min="13083" max="13314" width="4.140625" style="324"/>
    <col min="13315" max="13337" width="4.140625" style="324" customWidth="1"/>
    <col min="13338" max="13338" width="6.28515625" style="324" customWidth="1"/>
    <col min="13339" max="13570" width="4.140625" style="324"/>
    <col min="13571" max="13593" width="4.140625" style="324" customWidth="1"/>
    <col min="13594" max="13594" width="6.28515625" style="324" customWidth="1"/>
    <col min="13595" max="13826" width="4.140625" style="324"/>
    <col min="13827" max="13849" width="4.140625" style="324" customWidth="1"/>
    <col min="13850" max="13850" width="6.28515625" style="324" customWidth="1"/>
    <col min="13851" max="14082" width="4.140625" style="324"/>
    <col min="14083" max="14105" width="4.140625" style="324" customWidth="1"/>
    <col min="14106" max="14106" width="6.28515625" style="324" customWidth="1"/>
    <col min="14107" max="14338" width="4.140625" style="324"/>
    <col min="14339" max="14361" width="4.140625" style="324" customWidth="1"/>
    <col min="14362" max="14362" width="6.28515625" style="324" customWidth="1"/>
    <col min="14363" max="14594" width="4.140625" style="324"/>
    <col min="14595" max="14617" width="4.140625" style="324" customWidth="1"/>
    <col min="14618" max="14618" width="6.28515625" style="324" customWidth="1"/>
    <col min="14619" max="14850" width="4.140625" style="324"/>
    <col min="14851" max="14873" width="4.140625" style="324" customWidth="1"/>
    <col min="14874" max="14874" width="6.28515625" style="324" customWidth="1"/>
    <col min="14875" max="15106" width="4.140625" style="324"/>
    <col min="15107" max="15129" width="4.140625" style="324" customWidth="1"/>
    <col min="15130" max="15130" width="6.28515625" style="324" customWidth="1"/>
    <col min="15131" max="15362" width="4.140625" style="324"/>
    <col min="15363" max="15385" width="4.140625" style="324" customWidth="1"/>
    <col min="15386" max="15386" width="6.28515625" style="324" customWidth="1"/>
    <col min="15387" max="15618" width="4.140625" style="324"/>
    <col min="15619" max="15641" width="4.140625" style="324" customWidth="1"/>
    <col min="15642" max="15642" width="6.28515625" style="324" customWidth="1"/>
    <col min="15643" max="15874" width="4.140625" style="324"/>
    <col min="15875" max="15897" width="4.140625" style="324" customWidth="1"/>
    <col min="15898" max="15898" width="6.28515625" style="324" customWidth="1"/>
    <col min="15899" max="16130" width="4.140625" style="324"/>
    <col min="16131" max="16153" width="4.140625" style="324" customWidth="1"/>
    <col min="16154" max="16154" width="6.28515625" style="324" customWidth="1"/>
    <col min="16155" max="16384" width="4.140625" style="324"/>
  </cols>
  <sheetData>
    <row r="2" spans="2:34" ht="19.5" customHeight="1">
      <c r="C2" s="870" t="s">
        <v>736</v>
      </c>
      <c r="D2" s="871"/>
      <c r="E2" s="871"/>
      <c r="F2" s="871"/>
      <c r="G2" s="871"/>
      <c r="H2" s="872"/>
      <c r="I2" s="872"/>
      <c r="J2" s="872"/>
      <c r="K2" s="872"/>
      <c r="L2" s="872"/>
      <c r="M2" s="872"/>
      <c r="N2" s="872"/>
      <c r="O2" s="872"/>
      <c r="P2" s="872"/>
      <c r="Q2" s="872"/>
      <c r="R2" s="872"/>
      <c r="S2" s="872"/>
      <c r="T2" s="872"/>
      <c r="U2" s="872"/>
      <c r="V2" s="872"/>
      <c r="W2" s="872"/>
      <c r="X2" s="873"/>
    </row>
    <row r="3" spans="2:34" ht="20.25" customHeight="1">
      <c r="C3" s="874" t="s">
        <v>737</v>
      </c>
      <c r="D3" s="874"/>
      <c r="E3" s="874"/>
      <c r="F3" s="875"/>
      <c r="G3" s="875"/>
      <c r="H3" s="875"/>
      <c r="I3" s="875"/>
      <c r="J3" s="875"/>
      <c r="K3" s="875"/>
      <c r="L3" s="875"/>
      <c r="M3" s="875"/>
      <c r="N3" s="875"/>
      <c r="O3" s="875"/>
      <c r="P3" s="875"/>
      <c r="Q3" s="875"/>
      <c r="R3" s="875"/>
      <c r="S3" s="875"/>
      <c r="T3" s="875"/>
      <c r="U3" s="875"/>
      <c r="V3" s="876" t="s">
        <v>738</v>
      </c>
      <c r="W3" s="877"/>
      <c r="X3" s="877"/>
      <c r="Y3" s="380"/>
    </row>
    <row r="4" spans="2:34">
      <c r="B4" s="331" t="s">
        <v>739</v>
      </c>
      <c r="C4" s="878" t="s">
        <v>740</v>
      </c>
      <c r="D4" s="878"/>
      <c r="E4" s="878"/>
      <c r="F4" s="879"/>
      <c r="G4" s="879"/>
      <c r="H4" s="879"/>
      <c r="I4" s="879"/>
      <c r="J4" s="879"/>
      <c r="K4" s="879"/>
      <c r="L4" s="879"/>
      <c r="M4" s="879"/>
      <c r="N4" s="879"/>
      <c r="O4" s="879"/>
      <c r="P4" s="879"/>
      <c r="Q4" s="879"/>
      <c r="R4" s="879"/>
      <c r="S4" s="879"/>
      <c r="T4" s="879"/>
      <c r="U4" s="879"/>
      <c r="V4" s="880">
        <v>0.2</v>
      </c>
      <c r="W4" s="881"/>
      <c r="X4" s="881"/>
      <c r="Y4" s="380"/>
    </row>
    <row r="5" spans="2:34">
      <c r="B5" s="331" t="s">
        <v>741</v>
      </c>
      <c r="C5" s="878" t="s">
        <v>742</v>
      </c>
      <c r="D5" s="878"/>
      <c r="E5" s="878"/>
      <c r="F5" s="879"/>
      <c r="G5" s="879"/>
      <c r="H5" s="879"/>
      <c r="I5" s="879"/>
      <c r="J5" s="879"/>
      <c r="K5" s="879"/>
      <c r="L5" s="879"/>
      <c r="M5" s="879"/>
      <c r="N5" s="879"/>
      <c r="O5" s="879"/>
      <c r="P5" s="879"/>
      <c r="Q5" s="879"/>
      <c r="R5" s="879"/>
      <c r="S5" s="879"/>
      <c r="T5" s="879"/>
      <c r="U5" s="879"/>
      <c r="V5" s="882">
        <v>1.4999999999999999E-2</v>
      </c>
      <c r="W5" s="883"/>
      <c r="X5" s="883"/>
      <c r="Y5" s="381"/>
    </row>
    <row r="6" spans="2:34">
      <c r="B6" s="331" t="s">
        <v>743</v>
      </c>
      <c r="C6" s="878" t="s">
        <v>744</v>
      </c>
      <c r="D6" s="878"/>
      <c r="E6" s="878"/>
      <c r="F6" s="879"/>
      <c r="G6" s="879"/>
      <c r="H6" s="879"/>
      <c r="I6" s="879"/>
      <c r="J6" s="879"/>
      <c r="K6" s="879"/>
      <c r="L6" s="879"/>
      <c r="M6" s="879"/>
      <c r="N6" s="879"/>
      <c r="O6" s="879"/>
      <c r="P6" s="879"/>
      <c r="Q6" s="879"/>
      <c r="R6" s="879"/>
      <c r="S6" s="879"/>
      <c r="T6" s="879"/>
      <c r="U6" s="879"/>
      <c r="V6" s="882">
        <v>0.01</v>
      </c>
      <c r="W6" s="883"/>
      <c r="X6" s="883"/>
      <c r="Y6" s="381"/>
    </row>
    <row r="7" spans="2:34">
      <c r="B7" s="331" t="s">
        <v>745</v>
      </c>
      <c r="C7" s="878" t="s">
        <v>746</v>
      </c>
      <c r="D7" s="878"/>
      <c r="E7" s="878"/>
      <c r="F7" s="879"/>
      <c r="G7" s="879"/>
      <c r="H7" s="879"/>
      <c r="I7" s="879"/>
      <c r="J7" s="879"/>
      <c r="K7" s="879"/>
      <c r="L7" s="879"/>
      <c r="M7" s="879"/>
      <c r="N7" s="879"/>
      <c r="O7" s="879"/>
      <c r="P7" s="879"/>
      <c r="Q7" s="879"/>
      <c r="R7" s="879"/>
      <c r="S7" s="879"/>
      <c r="T7" s="879"/>
      <c r="U7" s="879"/>
      <c r="V7" s="882">
        <v>2E-3</v>
      </c>
      <c r="W7" s="883"/>
      <c r="X7" s="883"/>
      <c r="Y7" s="382"/>
    </row>
    <row r="8" spans="2:34">
      <c r="B8" s="331" t="s">
        <v>747</v>
      </c>
      <c r="C8" s="878" t="s">
        <v>748</v>
      </c>
      <c r="D8" s="878"/>
      <c r="E8" s="878"/>
      <c r="F8" s="879"/>
      <c r="G8" s="879"/>
      <c r="H8" s="879"/>
      <c r="I8" s="879"/>
      <c r="J8" s="879"/>
      <c r="K8" s="879"/>
      <c r="L8" s="879"/>
      <c r="M8" s="879"/>
      <c r="N8" s="879"/>
      <c r="O8" s="879"/>
      <c r="P8" s="879"/>
      <c r="Q8" s="879"/>
      <c r="R8" s="879"/>
      <c r="S8" s="879"/>
      <c r="T8" s="879"/>
      <c r="U8" s="879"/>
      <c r="V8" s="882">
        <v>2.5000000000000001E-2</v>
      </c>
      <c r="W8" s="883"/>
      <c r="X8" s="883"/>
      <c r="Y8" s="382"/>
    </row>
    <row r="9" spans="2:34">
      <c r="B9" s="332" t="s">
        <v>749</v>
      </c>
      <c r="C9" s="884" t="s">
        <v>750</v>
      </c>
      <c r="D9" s="884"/>
      <c r="E9" s="884"/>
      <c r="F9" s="885"/>
      <c r="G9" s="885"/>
      <c r="H9" s="885"/>
      <c r="I9" s="885"/>
      <c r="J9" s="885"/>
      <c r="K9" s="885"/>
      <c r="L9" s="885"/>
      <c r="M9" s="885"/>
      <c r="N9" s="885"/>
      <c r="O9" s="885"/>
      <c r="P9" s="885"/>
      <c r="Q9" s="885"/>
      <c r="R9" s="885"/>
      <c r="S9" s="885"/>
      <c r="T9" s="885"/>
      <c r="U9" s="885"/>
      <c r="V9" s="880">
        <v>0.08</v>
      </c>
      <c r="W9" s="881"/>
      <c r="X9" s="881"/>
      <c r="Y9" s="382"/>
    </row>
    <row r="10" spans="2:34" ht="21.75" customHeight="1">
      <c r="B10" s="1078" t="s">
        <v>751</v>
      </c>
      <c r="C10" s="886" t="s">
        <v>752</v>
      </c>
      <c r="D10" s="887"/>
      <c r="E10" s="887"/>
      <c r="F10" s="888"/>
      <c r="G10" s="888"/>
      <c r="H10" s="888"/>
      <c r="I10" s="888"/>
      <c r="J10" s="888"/>
      <c r="K10" s="888"/>
      <c r="L10" s="888"/>
      <c r="M10" s="888"/>
      <c r="N10" s="888"/>
      <c r="O10" s="888"/>
      <c r="P10" s="888"/>
      <c r="Q10" s="888"/>
      <c r="R10" s="888"/>
      <c r="S10" s="888"/>
      <c r="T10" s="888"/>
      <c r="U10" s="889"/>
      <c r="V10" s="1085">
        <f>F11*N11</f>
        <v>0.03</v>
      </c>
      <c r="W10" s="1086"/>
      <c r="X10" s="1087"/>
      <c r="Y10" s="383"/>
      <c r="Z10" s="384"/>
      <c r="AA10" s="384"/>
      <c r="AB10" s="384"/>
      <c r="AC10" s="384"/>
      <c r="AD10" s="384"/>
      <c r="AE10" s="384"/>
      <c r="AF10" s="384"/>
      <c r="AG10" s="384"/>
      <c r="AH10" s="384"/>
    </row>
    <row r="11" spans="2:34">
      <c r="B11" s="1079"/>
      <c r="C11" s="334"/>
      <c r="D11" s="890" t="s">
        <v>753</v>
      </c>
      <c r="E11" s="890"/>
      <c r="F11" s="891">
        <v>0.03</v>
      </c>
      <c r="G11" s="892"/>
      <c r="H11" s="893"/>
      <c r="I11" s="338"/>
      <c r="J11" s="338"/>
      <c r="K11" s="894" t="s">
        <v>754</v>
      </c>
      <c r="L11" s="894"/>
      <c r="M11" s="894"/>
      <c r="N11" s="895">
        <v>1</v>
      </c>
      <c r="O11" s="896"/>
      <c r="P11" s="897"/>
      <c r="Q11" s="338"/>
      <c r="R11" s="338"/>
      <c r="S11" s="338"/>
      <c r="T11" s="356"/>
      <c r="U11" s="357"/>
      <c r="V11" s="1088"/>
      <c r="W11" s="1086"/>
      <c r="X11" s="1087"/>
      <c r="Y11" s="382"/>
    </row>
    <row r="12" spans="2:34" ht="18.75" customHeight="1">
      <c r="B12" s="331" t="s">
        <v>755</v>
      </c>
      <c r="C12" s="898" t="s">
        <v>756</v>
      </c>
      <c r="D12" s="898"/>
      <c r="E12" s="898"/>
      <c r="F12" s="899"/>
      <c r="G12" s="899"/>
      <c r="H12" s="899"/>
      <c r="I12" s="899"/>
      <c r="J12" s="899"/>
      <c r="K12" s="899"/>
      <c r="L12" s="899"/>
      <c r="M12" s="899"/>
      <c r="N12" s="899"/>
      <c r="O12" s="899"/>
      <c r="P12" s="899"/>
      <c r="Q12" s="899"/>
      <c r="R12" s="899"/>
      <c r="S12" s="899"/>
      <c r="T12" s="899"/>
      <c r="U12" s="899"/>
      <c r="V12" s="882">
        <v>6.0000000000000001E-3</v>
      </c>
      <c r="W12" s="883"/>
      <c r="X12" s="883"/>
      <c r="Y12" s="382"/>
      <c r="Z12" s="385"/>
    </row>
    <row r="13" spans="2:34" ht="19.5" customHeight="1">
      <c r="C13" s="900" t="s">
        <v>757</v>
      </c>
      <c r="D13" s="901"/>
      <c r="E13" s="901"/>
      <c r="F13" s="902"/>
      <c r="G13" s="902"/>
      <c r="H13" s="902"/>
      <c r="I13" s="902"/>
      <c r="J13" s="902"/>
      <c r="K13" s="902"/>
      <c r="L13" s="902"/>
      <c r="M13" s="902"/>
      <c r="N13" s="902"/>
      <c r="O13" s="902"/>
      <c r="P13" s="902"/>
      <c r="Q13" s="902"/>
      <c r="R13" s="902"/>
      <c r="S13" s="902"/>
      <c r="T13" s="902"/>
      <c r="U13" s="903"/>
      <c r="V13" s="904">
        <f>SUM(V4:V12)</f>
        <v>0.3680000000000001</v>
      </c>
      <c r="W13" s="905"/>
      <c r="X13" s="905"/>
      <c r="Y13" s="386"/>
    </row>
    <row r="14" spans="2:34">
      <c r="C14" s="906"/>
      <c r="D14" s="907"/>
      <c r="E14" s="907"/>
      <c r="F14" s="907"/>
      <c r="G14" s="907"/>
      <c r="H14" s="907"/>
      <c r="I14" s="907"/>
      <c r="J14" s="907"/>
      <c r="K14" s="907"/>
      <c r="L14" s="907"/>
      <c r="M14" s="907"/>
      <c r="N14" s="907"/>
      <c r="O14" s="907"/>
      <c r="P14" s="907"/>
      <c r="Q14" s="907"/>
      <c r="R14" s="907"/>
      <c r="S14" s="907"/>
      <c r="T14" s="907"/>
      <c r="U14" s="907"/>
      <c r="V14" s="907"/>
      <c r="W14" s="907"/>
      <c r="X14" s="907"/>
      <c r="Y14" s="387"/>
    </row>
    <row r="15" spans="2:34" ht="19.5" customHeight="1">
      <c r="C15" s="908" t="s">
        <v>758</v>
      </c>
      <c r="D15" s="909"/>
      <c r="E15" s="909"/>
      <c r="F15" s="909"/>
      <c r="G15" s="909"/>
      <c r="H15" s="909"/>
      <c r="I15" s="909"/>
      <c r="J15" s="909"/>
      <c r="K15" s="909"/>
      <c r="L15" s="909"/>
      <c r="M15" s="909"/>
      <c r="N15" s="909"/>
      <c r="O15" s="909"/>
      <c r="P15" s="909"/>
      <c r="Q15" s="909"/>
      <c r="R15" s="909"/>
      <c r="S15" s="909"/>
      <c r="T15" s="909"/>
      <c r="U15" s="909"/>
      <c r="V15" s="909"/>
      <c r="W15" s="909"/>
      <c r="X15" s="910"/>
    </row>
    <row r="16" spans="2:34">
      <c r="B16" s="1078" t="s">
        <v>739</v>
      </c>
      <c r="C16" s="1023" t="s">
        <v>759</v>
      </c>
      <c r="D16" s="888"/>
      <c r="E16" s="888"/>
      <c r="F16" s="888"/>
      <c r="G16" s="888"/>
      <c r="H16" s="911" t="s">
        <v>760</v>
      </c>
      <c r="I16" s="912"/>
      <c r="J16" s="912"/>
      <c r="K16" s="912"/>
      <c r="L16" s="912"/>
      <c r="M16" s="912"/>
      <c r="N16" s="912"/>
      <c r="O16" s="912"/>
      <c r="P16" s="912"/>
      <c r="Q16" s="912"/>
      <c r="R16" s="912"/>
      <c r="S16" s="912"/>
      <c r="T16" s="912"/>
      <c r="U16" s="913"/>
      <c r="V16" s="930">
        <f>H18/P18</f>
        <v>8.3333333333333329E-2</v>
      </c>
      <c r="W16" s="930"/>
      <c r="X16" s="931"/>
    </row>
    <row r="17" spans="2:26">
      <c r="B17" s="1080"/>
      <c r="C17" s="969"/>
      <c r="D17" s="970"/>
      <c r="E17" s="970"/>
      <c r="F17" s="970"/>
      <c r="G17" s="970"/>
      <c r="H17" s="337"/>
      <c r="I17" s="348"/>
      <c r="J17" s="348"/>
      <c r="K17" s="348"/>
      <c r="L17" s="348"/>
      <c r="M17" s="348"/>
      <c r="N17" s="348"/>
      <c r="O17" s="348"/>
      <c r="P17" s="348"/>
      <c r="Q17" s="348"/>
      <c r="R17" s="348"/>
      <c r="S17" s="348"/>
      <c r="T17" s="348"/>
      <c r="U17" s="358"/>
      <c r="V17" s="932"/>
      <c r="W17" s="932"/>
      <c r="X17" s="933"/>
    </row>
    <row r="18" spans="2:26">
      <c r="B18" s="1079"/>
      <c r="C18" s="971"/>
      <c r="D18" s="894"/>
      <c r="E18" s="894"/>
      <c r="F18" s="894"/>
      <c r="G18" s="894"/>
      <c r="H18" s="914">
        <v>1</v>
      </c>
      <c r="I18" s="915"/>
      <c r="J18" s="916"/>
      <c r="K18" s="916"/>
      <c r="L18" s="916"/>
      <c r="M18" s="916"/>
      <c r="N18" s="917"/>
      <c r="O18" s="351" t="s">
        <v>761</v>
      </c>
      <c r="P18" s="918">
        <v>12</v>
      </c>
      <c r="Q18" s="918"/>
      <c r="R18" s="918"/>
      <c r="S18" s="918"/>
      <c r="T18" s="918"/>
      <c r="U18" s="919"/>
      <c r="V18" s="934"/>
      <c r="W18" s="934"/>
      <c r="X18" s="935"/>
    </row>
    <row r="19" spans="2:26">
      <c r="B19" s="1078" t="s">
        <v>741</v>
      </c>
      <c r="C19" s="1023" t="s">
        <v>762</v>
      </c>
      <c r="D19" s="888"/>
      <c r="E19" s="888"/>
      <c r="F19" s="888"/>
      <c r="G19" s="888"/>
      <c r="H19" s="911" t="s">
        <v>763</v>
      </c>
      <c r="I19" s="912"/>
      <c r="J19" s="912"/>
      <c r="K19" s="912"/>
      <c r="L19" s="912"/>
      <c r="M19" s="912"/>
      <c r="N19" s="912"/>
      <c r="O19" s="912"/>
      <c r="P19" s="912"/>
      <c r="Q19" s="912"/>
      <c r="R19" s="912"/>
      <c r="S19" s="912"/>
      <c r="T19" s="912"/>
      <c r="U19" s="913"/>
      <c r="V19" s="930">
        <f>H21/K21/N21</f>
        <v>2.7777777777777776E-2</v>
      </c>
      <c r="W19" s="930"/>
      <c r="X19" s="931"/>
    </row>
    <row r="20" spans="2:26">
      <c r="B20" s="1080"/>
      <c r="C20" s="969"/>
      <c r="D20" s="970"/>
      <c r="E20" s="970"/>
      <c r="F20" s="970"/>
      <c r="G20" s="970"/>
      <c r="H20" s="337"/>
      <c r="I20" s="348"/>
      <c r="J20" s="348"/>
      <c r="K20" s="348"/>
      <c r="L20" s="348"/>
      <c r="M20" s="348"/>
      <c r="N20" s="348"/>
      <c r="O20" s="348"/>
      <c r="P20" s="348"/>
      <c r="Q20" s="348"/>
      <c r="R20" s="348"/>
      <c r="S20" s="348"/>
      <c r="T20" s="348"/>
      <c r="U20" s="358"/>
      <c r="V20" s="932"/>
      <c r="W20" s="932"/>
      <c r="X20" s="933"/>
    </row>
    <row r="21" spans="2:26">
      <c r="B21" s="1079"/>
      <c r="C21" s="971"/>
      <c r="D21" s="894"/>
      <c r="E21" s="894"/>
      <c r="F21" s="894"/>
      <c r="G21" s="894"/>
      <c r="H21" s="914">
        <v>1</v>
      </c>
      <c r="I21" s="915"/>
      <c r="J21" s="352" t="s">
        <v>764</v>
      </c>
      <c r="K21" s="916">
        <v>3</v>
      </c>
      <c r="L21" s="916"/>
      <c r="M21" s="351" t="s">
        <v>761</v>
      </c>
      <c r="N21" s="918">
        <v>12</v>
      </c>
      <c r="O21" s="918"/>
      <c r="P21" s="353"/>
      <c r="Q21" s="353"/>
      <c r="R21" s="353"/>
      <c r="S21" s="353"/>
      <c r="T21" s="353"/>
      <c r="U21" s="359"/>
      <c r="V21" s="934"/>
      <c r="W21" s="934"/>
      <c r="X21" s="935"/>
    </row>
    <row r="22" spans="2:26">
      <c r="B22" s="332"/>
      <c r="C22" s="920" t="s">
        <v>765</v>
      </c>
      <c r="D22" s="885"/>
      <c r="E22" s="885"/>
      <c r="F22" s="885"/>
      <c r="G22" s="885"/>
      <c r="H22" s="885"/>
      <c r="I22" s="885"/>
      <c r="J22" s="885"/>
      <c r="K22" s="885"/>
      <c r="L22" s="885"/>
      <c r="M22" s="885"/>
      <c r="N22" s="885"/>
      <c r="O22" s="885"/>
      <c r="P22" s="885"/>
      <c r="Q22" s="885"/>
      <c r="R22" s="885"/>
      <c r="S22" s="885"/>
      <c r="T22" s="885"/>
      <c r="U22" s="885"/>
      <c r="V22" s="921">
        <f>SUM(V16:X21)</f>
        <v>0.1111111111111111</v>
      </c>
      <c r="W22" s="881"/>
      <c r="X22" s="881"/>
    </row>
    <row r="23" spans="2:26" ht="18.75" customHeight="1">
      <c r="B23" s="333" t="s">
        <v>743</v>
      </c>
      <c r="C23" s="922" t="s">
        <v>766</v>
      </c>
      <c r="D23" s="907"/>
      <c r="E23" s="907"/>
      <c r="F23" s="907"/>
      <c r="G23" s="907"/>
      <c r="H23" s="907"/>
      <c r="I23" s="907"/>
      <c r="J23" s="907"/>
      <c r="K23" s="907"/>
      <c r="L23" s="907"/>
      <c r="M23" s="907"/>
      <c r="N23" s="907"/>
      <c r="O23" s="907"/>
      <c r="P23" s="907"/>
      <c r="Q23" s="923">
        <f>V13</f>
        <v>0.3680000000000001</v>
      </c>
      <c r="R23" s="924"/>
      <c r="S23" s="361" t="s">
        <v>767</v>
      </c>
      <c r="T23" s="925">
        <f>V22</f>
        <v>0.1111111111111111</v>
      </c>
      <c r="U23" s="926"/>
      <c r="V23" s="927">
        <f>Q23*T23</f>
        <v>4.0888888888888898E-2</v>
      </c>
      <c r="W23" s="928"/>
      <c r="X23" s="929"/>
    </row>
    <row r="24" spans="2:26" ht="21.75" customHeight="1">
      <c r="B24" s="331" t="s">
        <v>745</v>
      </c>
      <c r="C24" s="339" t="s">
        <v>768</v>
      </c>
      <c r="D24" s="335"/>
      <c r="E24" s="335"/>
      <c r="F24" s="335"/>
      <c r="G24" s="335"/>
      <c r="H24" s="335"/>
      <c r="I24" s="335"/>
      <c r="J24" s="335"/>
      <c r="K24" s="335"/>
      <c r="L24" s="335"/>
      <c r="M24" s="335"/>
      <c r="N24" s="335"/>
      <c r="O24" s="335"/>
      <c r="P24" s="335"/>
      <c r="Q24" s="360">
        <f>8%*40%</f>
        <v>3.2000000000000001E-2</v>
      </c>
      <c r="R24" s="361"/>
      <c r="S24" s="361" t="s">
        <v>767</v>
      </c>
      <c r="T24" s="362">
        <f>V22</f>
        <v>0.1111111111111111</v>
      </c>
      <c r="U24" s="366"/>
      <c r="V24" s="927">
        <f>Q24*T24</f>
        <v>3.5555555555555553E-3</v>
      </c>
      <c r="W24" s="928"/>
      <c r="X24" s="929"/>
    </row>
    <row r="25" spans="2:26" ht="21.75" customHeight="1">
      <c r="C25" s="936" t="s">
        <v>769</v>
      </c>
      <c r="D25" s="937"/>
      <c r="E25" s="937"/>
      <c r="F25" s="937"/>
      <c r="G25" s="937"/>
      <c r="H25" s="937"/>
      <c r="I25" s="937"/>
      <c r="J25" s="937"/>
      <c r="K25" s="937"/>
      <c r="L25" s="937"/>
      <c r="M25" s="937"/>
      <c r="N25" s="937"/>
      <c r="O25" s="937"/>
      <c r="P25" s="937"/>
      <c r="Q25" s="937"/>
      <c r="R25" s="937"/>
      <c r="S25" s="937"/>
      <c r="T25" s="937"/>
      <c r="U25" s="937"/>
      <c r="V25" s="938">
        <f>SUM(V22:X24)</f>
        <v>0.15555555555555556</v>
      </c>
      <c r="W25" s="905"/>
      <c r="X25" s="905"/>
    </row>
    <row r="26" spans="2:26">
      <c r="C26" s="340"/>
      <c r="D26" s="341"/>
      <c r="E26" s="341"/>
      <c r="F26" s="341"/>
      <c r="G26" s="341"/>
      <c r="H26" s="341"/>
      <c r="I26" s="341"/>
      <c r="J26" s="341"/>
      <c r="K26" s="341"/>
      <c r="L26" s="341"/>
      <c r="M26" s="341"/>
      <c r="N26" s="341"/>
      <c r="O26" s="341"/>
      <c r="P26" s="341"/>
      <c r="Q26" s="341"/>
      <c r="R26" s="341"/>
      <c r="S26" s="341"/>
      <c r="T26" s="341"/>
      <c r="U26" s="341"/>
      <c r="V26" s="367"/>
      <c r="W26" s="368"/>
      <c r="X26" s="369"/>
    </row>
    <row r="27" spans="2:26" ht="24" customHeight="1">
      <c r="C27" s="908" t="s">
        <v>770</v>
      </c>
      <c r="D27" s="909"/>
      <c r="E27" s="909"/>
      <c r="F27" s="909"/>
      <c r="G27" s="909"/>
      <c r="H27" s="909"/>
      <c r="I27" s="909"/>
      <c r="J27" s="909"/>
      <c r="K27" s="909"/>
      <c r="L27" s="909"/>
      <c r="M27" s="909"/>
      <c r="N27" s="909"/>
      <c r="O27" s="909"/>
      <c r="P27" s="909"/>
      <c r="Q27" s="909"/>
      <c r="R27" s="909"/>
      <c r="S27" s="909"/>
      <c r="T27" s="909"/>
      <c r="U27" s="909"/>
      <c r="V27" s="909"/>
      <c r="W27" s="909"/>
      <c r="X27" s="910"/>
    </row>
    <row r="28" spans="2:26" ht="71.25" customHeight="1">
      <c r="C28" s="911" t="str">
        <f>CONCATENATE("O salário referente ao período de licença maternidade é coberto pela previdência social, inclusive a gratificação natalina respectiva (13º salário – art. 86 da IN RFB Nº 971/09)",", de modo que o salário do substituto e o décimo terceiro respectivo já consta na planilha de custos."," Contudo, a previdência social não cobre a remuneração de férias proporcional ao período da licença. Estima-se que ",K30*100,"% das empregadas se afastam por licença maternidade por ano.")</f>
        <v>O salário referente ao período de licença maternidade é coberto pela previdência social, inclusive a gratificação natalina respectiva (13º salário – art. 86 da IN RFB Nº 971/09), de modo que o salário do substituto e o décimo terceiro respectivo já consta na planilha de custos. Contudo, a previdência social não cobre a remuneração de férias proporcional ao período da licença. Estima-se que 2% das empregadas se afastam por licença maternidade por ano.</v>
      </c>
      <c r="D28" s="912"/>
      <c r="E28" s="912"/>
      <c r="F28" s="912"/>
      <c r="G28" s="912"/>
      <c r="H28" s="912"/>
      <c r="I28" s="912"/>
      <c r="J28" s="912"/>
      <c r="K28" s="912"/>
      <c r="L28" s="912"/>
      <c r="M28" s="912"/>
      <c r="N28" s="912"/>
      <c r="O28" s="912"/>
      <c r="P28" s="912"/>
      <c r="Q28" s="912"/>
      <c r="R28" s="912"/>
      <c r="S28" s="912"/>
      <c r="T28" s="912"/>
      <c r="U28" s="912"/>
      <c r="V28" s="912"/>
      <c r="W28" s="912"/>
      <c r="X28" s="913"/>
    </row>
    <row r="29" spans="2:26">
      <c r="B29" s="1081" t="s">
        <v>739</v>
      </c>
      <c r="C29" s="911" t="s">
        <v>771</v>
      </c>
      <c r="D29" s="947"/>
      <c r="E29" s="947"/>
      <c r="F29" s="947"/>
      <c r="G29" s="948"/>
      <c r="H29" s="939" t="s">
        <v>772</v>
      </c>
      <c r="I29" s="940"/>
      <c r="J29" s="940"/>
      <c r="K29" s="940"/>
      <c r="L29" s="940"/>
      <c r="M29" s="940"/>
      <c r="N29" s="940"/>
      <c r="O29" s="940"/>
      <c r="P29" s="940"/>
      <c r="Q29" s="940"/>
      <c r="R29" s="940"/>
      <c r="S29" s="940"/>
      <c r="T29" s="940"/>
      <c r="U29" s="941"/>
      <c r="V29" s="930">
        <f>H30*K30*N30</f>
        <v>7.407407407407407E-4</v>
      </c>
      <c r="W29" s="930"/>
      <c r="X29" s="931"/>
    </row>
    <row r="30" spans="2:26" ht="21" customHeight="1">
      <c r="B30" s="1081"/>
      <c r="C30" s="949"/>
      <c r="D30" s="950"/>
      <c r="E30" s="950"/>
      <c r="F30" s="950"/>
      <c r="G30" s="951"/>
      <c r="H30" s="942">
        <f>(1+1/3)*1/12</f>
        <v>0.1111111111111111</v>
      </c>
      <c r="I30" s="943"/>
      <c r="J30" s="352" t="s">
        <v>767</v>
      </c>
      <c r="K30" s="944">
        <v>0.02</v>
      </c>
      <c r="L30" s="944"/>
      <c r="M30" s="338" t="s">
        <v>767</v>
      </c>
      <c r="N30" s="945">
        <f>4/12</f>
        <v>0.33333333333333331</v>
      </c>
      <c r="O30" s="945"/>
      <c r="P30" s="352"/>
      <c r="Q30" s="946"/>
      <c r="R30" s="946"/>
      <c r="S30" s="370"/>
      <c r="T30" s="370"/>
      <c r="U30" s="371"/>
      <c r="V30" s="934"/>
      <c r="W30" s="934"/>
      <c r="X30" s="935"/>
      <c r="Z30" s="388"/>
    </row>
    <row r="31" spans="2:26" ht="21" customHeight="1">
      <c r="B31" s="342" t="s">
        <v>741</v>
      </c>
      <c r="C31" s="922" t="s">
        <v>773</v>
      </c>
      <c r="D31" s="907"/>
      <c r="E31" s="907"/>
      <c r="F31" s="907"/>
      <c r="G31" s="907"/>
      <c r="H31" s="907"/>
      <c r="I31" s="907"/>
      <c r="J31" s="907"/>
      <c r="K31" s="907"/>
      <c r="L31" s="907"/>
      <c r="M31" s="907"/>
      <c r="N31" s="907"/>
      <c r="O31" s="907"/>
      <c r="P31" s="907"/>
      <c r="Q31" s="372"/>
      <c r="R31" s="372"/>
      <c r="S31" s="373"/>
      <c r="T31" s="373"/>
      <c r="U31" s="374"/>
      <c r="V31" s="952">
        <f>(V13*V29)</f>
        <v>2.7259259259259267E-4</v>
      </c>
      <c r="W31" s="953"/>
      <c r="X31" s="953"/>
    </row>
    <row r="32" spans="2:26" ht="20.25" customHeight="1">
      <c r="C32" s="936" t="s">
        <v>774</v>
      </c>
      <c r="D32" s="937"/>
      <c r="E32" s="937"/>
      <c r="F32" s="937"/>
      <c r="G32" s="937"/>
      <c r="H32" s="937"/>
      <c r="I32" s="937"/>
      <c r="J32" s="937"/>
      <c r="K32" s="937"/>
      <c r="L32" s="937"/>
      <c r="M32" s="937"/>
      <c r="N32" s="937"/>
      <c r="O32" s="937"/>
      <c r="P32" s="937"/>
      <c r="Q32" s="937"/>
      <c r="R32" s="937"/>
      <c r="S32" s="937"/>
      <c r="T32" s="937"/>
      <c r="U32" s="937"/>
      <c r="V32" s="938">
        <f>SUM(V29:X31)</f>
        <v>1.0133333333333333E-3</v>
      </c>
      <c r="W32" s="905"/>
      <c r="X32" s="905"/>
    </row>
    <row r="33" spans="1:34" ht="20.25" customHeight="1">
      <c r="C33" s="339" t="s">
        <v>775</v>
      </c>
      <c r="D33" s="341"/>
      <c r="E33" s="341"/>
      <c r="F33" s="341"/>
      <c r="G33" s="341"/>
      <c r="H33" s="345"/>
      <c r="I33" s="345"/>
      <c r="J33" s="345"/>
      <c r="K33" s="345"/>
      <c r="L33" s="345"/>
      <c r="M33" s="345"/>
      <c r="N33" s="345"/>
      <c r="O33" s="345"/>
      <c r="P33" s="345"/>
      <c r="Q33" s="345"/>
      <c r="R33" s="345"/>
      <c r="S33" s="345"/>
      <c r="T33" s="345"/>
      <c r="U33" s="345"/>
      <c r="V33" s="367"/>
      <c r="W33" s="368"/>
      <c r="X33" s="369"/>
    </row>
    <row r="34" spans="1:34" s="323" customFormat="1" ht="20.25" customHeight="1">
      <c r="A34" s="324"/>
      <c r="C34" s="954" t="s">
        <v>776</v>
      </c>
      <c r="D34" s="955"/>
      <c r="E34" s="955"/>
      <c r="F34" s="955"/>
      <c r="G34" s="955"/>
      <c r="H34" s="956"/>
      <c r="I34" s="956"/>
      <c r="J34" s="956"/>
      <c r="K34" s="956"/>
      <c r="L34" s="956"/>
      <c r="M34" s="956"/>
      <c r="N34" s="956"/>
      <c r="O34" s="956"/>
      <c r="P34" s="956"/>
      <c r="Q34" s="956"/>
      <c r="R34" s="956"/>
      <c r="S34" s="956"/>
      <c r="T34" s="956"/>
      <c r="U34" s="956"/>
      <c r="V34" s="955"/>
      <c r="W34" s="955"/>
      <c r="X34" s="957"/>
      <c r="Y34" s="330"/>
      <c r="AA34" s="324"/>
      <c r="AB34" s="324"/>
      <c r="AC34" s="324"/>
      <c r="AD34" s="324"/>
      <c r="AE34" s="324"/>
      <c r="AF34" s="324"/>
      <c r="AG34" s="324"/>
      <c r="AH34" s="324"/>
    </row>
    <row r="35" spans="1:34" s="323" customFormat="1">
      <c r="A35" s="324"/>
      <c r="B35" s="1081" t="s">
        <v>739</v>
      </c>
      <c r="C35" s="969" t="s">
        <v>777</v>
      </c>
      <c r="D35" s="970"/>
      <c r="E35" s="970"/>
      <c r="F35" s="970"/>
      <c r="G35" s="970"/>
      <c r="H35" s="911" t="str">
        <f>CONCATENATE("Trata-se de valor devido ao empregado no caso de o empregador rescindir o contrato sem justo motivo e sem lhe conceder aviso prévio, conforme disposto no § 1º do art. 487 da CLT.","Estima-se que ",M40*100," % do pessoal ao ano é demitido pelo empregador antes do término do contrato de trabalho.","Fundamento Legal: Artigos 7º, XXI, da CF/88 e Arts. 477, 487 e 491 da CLT.")</f>
        <v>Trata-se de valor devido ao empregado no caso de o empregador rescindir o contrato sem justo motivo e sem lhe conceder aviso prévio, conforme disposto no § 1º do art. 487 da CLT.Estima-se que 3,5 % do pessoal ao ano é demitido pelo empregador antes do término do contrato de trabalho.Fundamento Legal: Artigos 7º, XXI, da CF/88 e Arts. 477, 487 e 491 da CLT.</v>
      </c>
      <c r="I35" s="912"/>
      <c r="J35" s="912"/>
      <c r="K35" s="912"/>
      <c r="L35" s="912"/>
      <c r="M35" s="912"/>
      <c r="N35" s="912"/>
      <c r="O35" s="912"/>
      <c r="P35" s="912"/>
      <c r="Q35" s="912"/>
      <c r="R35" s="912"/>
      <c r="S35" s="912"/>
      <c r="T35" s="912"/>
      <c r="U35" s="913"/>
      <c r="V35" s="930">
        <f>(I40/K40*M40)</f>
        <v>2.9166666666666668E-3</v>
      </c>
      <c r="W35" s="930"/>
      <c r="X35" s="931"/>
      <c r="Y35" s="330"/>
      <c r="AA35" s="324"/>
      <c r="AB35" s="324"/>
      <c r="AC35" s="324"/>
      <c r="AD35" s="324"/>
      <c r="AE35" s="324"/>
      <c r="AF35" s="324"/>
      <c r="AG35" s="324"/>
      <c r="AH35" s="324"/>
    </row>
    <row r="36" spans="1:34" s="323" customFormat="1">
      <c r="A36" s="324"/>
      <c r="B36" s="1081"/>
      <c r="C36" s="969"/>
      <c r="D36" s="970"/>
      <c r="E36" s="970"/>
      <c r="F36" s="970"/>
      <c r="G36" s="970"/>
      <c r="H36" s="972"/>
      <c r="I36" s="973"/>
      <c r="J36" s="973"/>
      <c r="K36" s="973"/>
      <c r="L36" s="973"/>
      <c r="M36" s="973"/>
      <c r="N36" s="973"/>
      <c r="O36" s="973"/>
      <c r="P36" s="973"/>
      <c r="Q36" s="973"/>
      <c r="R36" s="973"/>
      <c r="S36" s="973"/>
      <c r="T36" s="973"/>
      <c r="U36" s="974"/>
      <c r="V36" s="932"/>
      <c r="W36" s="932"/>
      <c r="X36" s="933"/>
      <c r="Y36" s="330"/>
      <c r="AA36" s="324"/>
      <c r="AB36" s="324"/>
      <c r="AC36" s="324"/>
      <c r="AD36" s="324"/>
      <c r="AE36" s="324"/>
      <c r="AF36" s="324"/>
      <c r="AG36" s="324"/>
      <c r="AH36" s="324"/>
    </row>
    <row r="37" spans="1:34" s="323" customFormat="1">
      <c r="A37" s="324"/>
      <c r="B37" s="1081"/>
      <c r="C37" s="969"/>
      <c r="D37" s="970"/>
      <c r="E37" s="970"/>
      <c r="F37" s="970"/>
      <c r="G37" s="970"/>
      <c r="H37" s="972"/>
      <c r="I37" s="973"/>
      <c r="J37" s="973"/>
      <c r="K37" s="973"/>
      <c r="L37" s="973"/>
      <c r="M37" s="973"/>
      <c r="N37" s="973"/>
      <c r="O37" s="973"/>
      <c r="P37" s="973"/>
      <c r="Q37" s="973"/>
      <c r="R37" s="973"/>
      <c r="S37" s="973"/>
      <c r="T37" s="973"/>
      <c r="U37" s="974"/>
      <c r="V37" s="932"/>
      <c r="W37" s="932"/>
      <c r="X37" s="933"/>
      <c r="Y37" s="330"/>
      <c r="AA37" s="324"/>
      <c r="AB37" s="324"/>
      <c r="AC37" s="324"/>
      <c r="AD37" s="324"/>
      <c r="AE37" s="324"/>
      <c r="AF37" s="324"/>
      <c r="AG37" s="324"/>
      <c r="AH37" s="324"/>
    </row>
    <row r="38" spans="1:34" s="323" customFormat="1">
      <c r="A38" s="324"/>
      <c r="B38" s="1081"/>
      <c r="C38" s="969"/>
      <c r="D38" s="970"/>
      <c r="E38" s="970"/>
      <c r="F38" s="970"/>
      <c r="G38" s="970"/>
      <c r="H38" s="972"/>
      <c r="I38" s="973"/>
      <c r="J38" s="973"/>
      <c r="K38" s="973"/>
      <c r="L38" s="973"/>
      <c r="M38" s="973"/>
      <c r="N38" s="973"/>
      <c r="O38" s="973"/>
      <c r="P38" s="973"/>
      <c r="Q38" s="973"/>
      <c r="R38" s="973"/>
      <c r="S38" s="973"/>
      <c r="T38" s="973"/>
      <c r="U38" s="974"/>
      <c r="V38" s="932"/>
      <c r="W38" s="932"/>
      <c r="X38" s="933"/>
      <c r="Y38" s="330"/>
      <c r="AA38" s="324"/>
      <c r="AB38" s="324"/>
      <c r="AC38" s="324"/>
      <c r="AD38" s="324"/>
      <c r="AE38" s="324"/>
      <c r="AF38" s="324"/>
      <c r="AG38" s="324"/>
      <c r="AH38" s="324"/>
    </row>
    <row r="39" spans="1:34" s="323" customFormat="1">
      <c r="A39" s="324"/>
      <c r="B39" s="1081"/>
      <c r="C39" s="969"/>
      <c r="D39" s="970"/>
      <c r="E39" s="970"/>
      <c r="F39" s="970"/>
      <c r="G39" s="970"/>
      <c r="H39" s="972"/>
      <c r="I39" s="973"/>
      <c r="J39" s="973"/>
      <c r="K39" s="973"/>
      <c r="L39" s="973"/>
      <c r="M39" s="973"/>
      <c r="N39" s="973"/>
      <c r="O39" s="973"/>
      <c r="P39" s="973"/>
      <c r="Q39" s="973"/>
      <c r="R39" s="973"/>
      <c r="S39" s="973"/>
      <c r="T39" s="973"/>
      <c r="U39" s="974"/>
      <c r="V39" s="932"/>
      <c r="W39" s="932"/>
      <c r="X39" s="933"/>
      <c r="Y39" s="330"/>
      <c r="AA39" s="324"/>
      <c r="AB39" s="324"/>
      <c r="AC39" s="324"/>
      <c r="AD39" s="324"/>
      <c r="AE39" s="324"/>
      <c r="AF39" s="324"/>
      <c r="AG39" s="324"/>
      <c r="AH39" s="324"/>
    </row>
    <row r="40" spans="1:34" s="323" customFormat="1">
      <c r="A40" s="324"/>
      <c r="B40" s="1081"/>
      <c r="C40" s="971"/>
      <c r="D40" s="894"/>
      <c r="E40" s="894"/>
      <c r="F40" s="894"/>
      <c r="G40" s="894"/>
      <c r="H40" s="346" t="s">
        <v>778</v>
      </c>
      <c r="I40" s="349">
        <v>1</v>
      </c>
      <c r="J40" s="352" t="s">
        <v>764</v>
      </c>
      <c r="K40" s="350">
        <v>12</v>
      </c>
      <c r="L40" s="352" t="s">
        <v>767</v>
      </c>
      <c r="M40" s="958">
        <v>3.5000000000000003E-2</v>
      </c>
      <c r="N40" s="959"/>
      <c r="O40" s="352" t="s">
        <v>779</v>
      </c>
      <c r="P40" s="338"/>
      <c r="Q40" s="338"/>
      <c r="R40" s="338"/>
      <c r="S40" s="338"/>
      <c r="T40" s="356"/>
      <c r="U40" s="357"/>
      <c r="V40" s="934"/>
      <c r="W40" s="934"/>
      <c r="X40" s="935"/>
      <c r="Y40" s="330"/>
      <c r="AA40" s="324"/>
      <c r="AB40" s="324"/>
      <c r="AC40" s="324"/>
      <c r="AD40" s="324"/>
      <c r="AE40" s="324"/>
      <c r="AF40" s="324"/>
      <c r="AG40" s="324"/>
      <c r="AH40" s="324"/>
    </row>
    <row r="41" spans="1:34" s="323" customFormat="1" ht="24.75" customHeight="1">
      <c r="A41" s="324"/>
      <c r="B41" s="342" t="s">
        <v>741</v>
      </c>
      <c r="C41" s="960" t="s">
        <v>780</v>
      </c>
      <c r="D41" s="961"/>
      <c r="E41" s="961"/>
      <c r="F41" s="961"/>
      <c r="G41" s="962"/>
      <c r="H41" s="963">
        <f>1/12</f>
        <v>8.3333333333333329E-2</v>
      </c>
      <c r="I41" s="964"/>
      <c r="J41" s="352" t="s">
        <v>781</v>
      </c>
      <c r="K41" s="964">
        <f>(1+1/3)/12</f>
        <v>0.1111111111111111</v>
      </c>
      <c r="L41" s="964"/>
      <c r="M41" s="965" t="s">
        <v>767</v>
      </c>
      <c r="N41" s="894"/>
      <c r="O41" s="964">
        <f>V35</f>
        <v>2.9166666666666668E-3</v>
      </c>
      <c r="P41" s="964"/>
      <c r="Q41" s="338"/>
      <c r="R41" s="338"/>
      <c r="S41" s="338"/>
      <c r="T41" s="356"/>
      <c r="U41" s="357"/>
      <c r="V41" s="966">
        <f>(H41+K41)*O41</f>
        <v>5.6712962962962956E-4</v>
      </c>
      <c r="W41" s="967"/>
      <c r="X41" s="968"/>
      <c r="Y41" s="330"/>
      <c r="AA41" s="324"/>
      <c r="AB41" s="324"/>
      <c r="AC41" s="324"/>
      <c r="AD41" s="324"/>
      <c r="AE41" s="324"/>
      <c r="AF41" s="324"/>
      <c r="AG41" s="324"/>
      <c r="AH41" s="324"/>
    </row>
    <row r="42" spans="1:34" s="323" customFormat="1">
      <c r="A42" s="324"/>
      <c r="B42" s="347"/>
      <c r="C42" s="975" t="s">
        <v>765</v>
      </c>
      <c r="D42" s="976"/>
      <c r="E42" s="976"/>
      <c r="F42" s="976"/>
      <c r="G42" s="976"/>
      <c r="H42" s="976"/>
      <c r="I42" s="976"/>
      <c r="J42" s="976"/>
      <c r="K42" s="976"/>
      <c r="L42" s="976"/>
      <c r="M42" s="976"/>
      <c r="N42" s="976"/>
      <c r="O42" s="976"/>
      <c r="P42" s="976"/>
      <c r="Q42" s="976"/>
      <c r="R42" s="976"/>
      <c r="S42" s="976"/>
      <c r="T42" s="976"/>
      <c r="U42" s="977"/>
      <c r="V42" s="978">
        <f>SUM(V35:X41)</f>
        <v>3.4837962962962965E-3</v>
      </c>
      <c r="W42" s="979"/>
      <c r="X42" s="980"/>
      <c r="Y42" s="330"/>
      <c r="AA42" s="324"/>
      <c r="AB42" s="324"/>
      <c r="AC42" s="324"/>
      <c r="AD42" s="324"/>
      <c r="AE42" s="324"/>
      <c r="AF42" s="324"/>
      <c r="AG42" s="324"/>
      <c r="AH42" s="324"/>
    </row>
    <row r="43" spans="1:34" s="323" customFormat="1" ht="68.25" customHeight="1">
      <c r="A43" s="324"/>
      <c r="C43" s="981" t="s">
        <v>782</v>
      </c>
      <c r="D43" s="982"/>
      <c r="E43" s="982"/>
      <c r="F43" s="982"/>
      <c r="G43" s="982"/>
      <c r="H43" s="982"/>
      <c r="I43" s="982"/>
      <c r="J43" s="982"/>
      <c r="K43" s="982"/>
      <c r="L43" s="982"/>
      <c r="M43" s="982"/>
      <c r="N43" s="982"/>
      <c r="O43" s="982"/>
      <c r="P43" s="982"/>
      <c r="Q43" s="982"/>
      <c r="R43" s="982"/>
      <c r="S43" s="982"/>
      <c r="T43" s="982"/>
      <c r="U43" s="982"/>
      <c r="V43" s="982"/>
      <c r="W43" s="982"/>
      <c r="X43" s="983"/>
      <c r="Y43" s="330"/>
      <c r="AA43" s="324"/>
      <c r="AB43" s="324"/>
      <c r="AC43" s="324"/>
      <c r="AD43" s="324"/>
      <c r="AE43" s="324"/>
      <c r="AF43" s="324"/>
      <c r="AG43" s="324"/>
      <c r="AH43" s="324"/>
    </row>
    <row r="44" spans="1:34" s="323" customFormat="1" ht="18.75" customHeight="1">
      <c r="A44" s="324"/>
      <c r="B44" s="342" t="s">
        <v>743</v>
      </c>
      <c r="C44" s="339" t="s">
        <v>783</v>
      </c>
      <c r="D44" s="335"/>
      <c r="E44" s="335"/>
      <c r="F44" s="335"/>
      <c r="G44" s="335"/>
      <c r="H44" s="338"/>
      <c r="I44" s="338"/>
      <c r="J44" s="338"/>
      <c r="K44" s="338"/>
      <c r="L44" s="338"/>
      <c r="M44" s="338"/>
      <c r="N44" s="338"/>
      <c r="O44" s="354">
        <f>V13-V9</f>
        <v>0.28800000000000009</v>
      </c>
      <c r="P44" s="338" t="s">
        <v>767</v>
      </c>
      <c r="Q44" s="958">
        <f>1/12</f>
        <v>8.3333333333333329E-2</v>
      </c>
      <c r="R44" s="916"/>
      <c r="S44" s="352" t="s">
        <v>767</v>
      </c>
      <c r="T44" s="984">
        <f>V35</f>
        <v>2.9166666666666668E-3</v>
      </c>
      <c r="U44" s="985"/>
      <c r="V44" s="986">
        <f>(Q44*T44*O44)</f>
        <v>7.0000000000000021E-5</v>
      </c>
      <c r="W44" s="986"/>
      <c r="X44" s="987"/>
      <c r="Y44" s="330"/>
      <c r="AA44" s="324"/>
      <c r="AB44" s="324"/>
      <c r="AC44" s="324"/>
      <c r="AD44" s="324"/>
      <c r="AE44" s="324"/>
      <c r="AF44" s="324"/>
      <c r="AG44" s="324"/>
      <c r="AH44" s="324"/>
    </row>
    <row r="45" spans="1:34" s="323" customFormat="1" ht="30" customHeight="1">
      <c r="A45" s="324"/>
      <c r="B45" s="342" t="s">
        <v>745</v>
      </c>
      <c r="C45" s="988" t="s">
        <v>784</v>
      </c>
      <c r="D45" s="989"/>
      <c r="E45" s="989"/>
      <c r="F45" s="989"/>
      <c r="G45" s="990"/>
      <c r="J45" s="343"/>
      <c r="K45" s="991">
        <f>V9</f>
        <v>0.08</v>
      </c>
      <c r="L45" s="992"/>
      <c r="M45" s="343" t="s">
        <v>767</v>
      </c>
      <c r="N45" s="993">
        <f>V42</f>
        <v>3.4837962962962965E-3</v>
      </c>
      <c r="O45" s="993"/>
      <c r="P45" s="343"/>
      <c r="Q45" s="343"/>
      <c r="R45" s="343"/>
      <c r="S45" s="343"/>
      <c r="T45" s="343"/>
      <c r="U45" s="344"/>
      <c r="V45" s="994">
        <f>(K45*N45)</f>
        <v>2.787037037037037E-4</v>
      </c>
      <c r="W45" s="995"/>
      <c r="X45" s="996"/>
      <c r="Y45" s="330"/>
      <c r="AA45" s="324"/>
      <c r="AB45" s="324"/>
      <c r="AC45" s="324"/>
      <c r="AD45" s="324"/>
      <c r="AE45" s="324"/>
      <c r="AF45" s="324"/>
      <c r="AG45" s="324"/>
      <c r="AH45" s="324"/>
    </row>
    <row r="46" spans="1:34" s="323" customFormat="1">
      <c r="A46" s="324"/>
      <c r="B46" s="1081" t="s">
        <v>747</v>
      </c>
      <c r="C46" s="1005" t="s">
        <v>785</v>
      </c>
      <c r="D46" s="1005"/>
      <c r="E46" s="1005"/>
      <c r="F46" s="1005"/>
      <c r="G46" s="1005"/>
      <c r="H46" s="1015" t="s">
        <v>786</v>
      </c>
      <c r="I46" s="947"/>
      <c r="J46" s="947"/>
      <c r="K46" s="947"/>
      <c r="L46" s="947"/>
      <c r="M46" s="947"/>
      <c r="N46" s="947"/>
      <c r="O46" s="947"/>
      <c r="P46" s="947"/>
      <c r="Q46" s="947"/>
      <c r="R46" s="947"/>
      <c r="S46" s="947"/>
      <c r="T46" s="947"/>
      <c r="U46" s="948"/>
      <c r="V46" s="1012">
        <f>H50*K50</f>
        <v>3.2000000000000001E-2</v>
      </c>
      <c r="W46" s="930"/>
      <c r="X46" s="931"/>
      <c r="Y46" s="330"/>
      <c r="AA46" s="324"/>
      <c r="AB46" s="324"/>
      <c r="AC46" s="324"/>
      <c r="AD46" s="324"/>
      <c r="AE46" s="324"/>
      <c r="AF46" s="324"/>
      <c r="AG46" s="324"/>
      <c r="AH46" s="324"/>
    </row>
    <row r="47" spans="1:34" s="323" customFormat="1">
      <c r="A47" s="324"/>
      <c r="B47" s="1081"/>
      <c r="C47" s="1005"/>
      <c r="D47" s="1005"/>
      <c r="E47" s="1005"/>
      <c r="F47" s="1005"/>
      <c r="G47" s="1005"/>
      <c r="H47" s="1016"/>
      <c r="I47" s="1017"/>
      <c r="J47" s="1017"/>
      <c r="K47" s="1017"/>
      <c r="L47" s="1017"/>
      <c r="M47" s="1017"/>
      <c r="N47" s="1017"/>
      <c r="O47" s="1017"/>
      <c r="P47" s="1017"/>
      <c r="Q47" s="1017"/>
      <c r="R47" s="1017"/>
      <c r="S47" s="1017"/>
      <c r="T47" s="1017"/>
      <c r="U47" s="1018"/>
      <c r="V47" s="1013"/>
      <c r="W47" s="932"/>
      <c r="X47" s="933"/>
      <c r="Y47" s="330"/>
      <c r="AA47" s="324"/>
      <c r="AB47" s="324"/>
      <c r="AC47" s="324"/>
      <c r="AD47" s="324"/>
      <c r="AE47" s="324"/>
      <c r="AF47" s="324"/>
      <c r="AG47" s="324"/>
      <c r="AH47" s="324"/>
    </row>
    <row r="48" spans="1:34" s="323" customFormat="1">
      <c r="A48" s="324"/>
      <c r="B48" s="1081"/>
      <c r="C48" s="1005"/>
      <c r="D48" s="1005"/>
      <c r="E48" s="1005"/>
      <c r="F48" s="1005"/>
      <c r="G48" s="1005"/>
      <c r="H48" s="1016"/>
      <c r="I48" s="1017"/>
      <c r="J48" s="1017"/>
      <c r="K48" s="1017"/>
      <c r="L48" s="1017"/>
      <c r="M48" s="1017"/>
      <c r="N48" s="1017"/>
      <c r="O48" s="1017"/>
      <c r="P48" s="1017"/>
      <c r="Q48" s="1017"/>
      <c r="R48" s="1017"/>
      <c r="S48" s="1017"/>
      <c r="T48" s="1017"/>
      <c r="U48" s="1018"/>
      <c r="V48" s="1013"/>
      <c r="W48" s="932"/>
      <c r="X48" s="933"/>
      <c r="Y48" s="330"/>
      <c r="AA48" s="324"/>
      <c r="AB48" s="324"/>
      <c r="AC48" s="324"/>
      <c r="AD48" s="324"/>
      <c r="AE48" s="324"/>
      <c r="AF48" s="324"/>
      <c r="AG48" s="324"/>
      <c r="AH48" s="324"/>
    </row>
    <row r="49" spans="1:34">
      <c r="B49" s="1081"/>
      <c r="C49" s="1005"/>
      <c r="D49" s="1005"/>
      <c r="E49" s="1005"/>
      <c r="F49" s="1005"/>
      <c r="G49" s="1005"/>
      <c r="H49" s="1016"/>
      <c r="I49" s="1017"/>
      <c r="J49" s="1017"/>
      <c r="K49" s="1017"/>
      <c r="L49" s="1017"/>
      <c r="M49" s="1017"/>
      <c r="N49" s="1017"/>
      <c r="O49" s="1017"/>
      <c r="P49" s="1017"/>
      <c r="Q49" s="1017"/>
      <c r="R49" s="1017"/>
      <c r="S49" s="1017"/>
      <c r="T49" s="1017"/>
      <c r="U49" s="1018"/>
      <c r="V49" s="1013"/>
      <c r="W49" s="932"/>
      <c r="X49" s="933"/>
    </row>
    <row r="50" spans="1:34" ht="21" customHeight="1">
      <c r="B50" s="1081"/>
      <c r="C50" s="1005"/>
      <c r="D50" s="1005"/>
      <c r="E50" s="1005"/>
      <c r="F50" s="1005"/>
      <c r="G50" s="1005"/>
      <c r="H50" s="997">
        <f>K45</f>
        <v>0.08</v>
      </c>
      <c r="I50" s="998"/>
      <c r="J50" s="355" t="s">
        <v>767</v>
      </c>
      <c r="K50" s="999">
        <v>0.4</v>
      </c>
      <c r="L50" s="999"/>
      <c r="M50" s="355"/>
      <c r="N50" s="355"/>
      <c r="O50" s="355"/>
      <c r="P50" s="355"/>
      <c r="Q50" s="355"/>
      <c r="R50" s="355"/>
      <c r="S50" s="355"/>
      <c r="T50" s="355"/>
      <c r="U50" s="375"/>
      <c r="V50" s="1014"/>
      <c r="W50" s="934"/>
      <c r="X50" s="935"/>
    </row>
    <row r="51" spans="1:34" ht="27" customHeight="1">
      <c r="B51" s="1081" t="s">
        <v>749</v>
      </c>
      <c r="C51" s="1005" t="s">
        <v>787</v>
      </c>
      <c r="D51" s="1005"/>
      <c r="E51" s="1005"/>
      <c r="F51" s="1005"/>
      <c r="G51" s="1005"/>
      <c r="H51" s="1006" t="str">
        <f>CONCATENATE("Refere-se à indenização de 1 salário para os profissionais que forem demitidos 1 mês antes da data-base. Estima-se em ",N53*100," % o percentual ao ano de empregados demitidos nessa situação.")</f>
        <v>Refere-se à indenização de 1 salário para os profissionais que forem demitidos 1 mês antes da data-base. Estima-se em 1 % o percentual ao ano de empregados demitidos nessa situação.</v>
      </c>
      <c r="I51" s="1007"/>
      <c r="J51" s="1007"/>
      <c r="K51" s="1007"/>
      <c r="L51" s="1007"/>
      <c r="M51" s="1007"/>
      <c r="N51" s="1007"/>
      <c r="O51" s="1007"/>
      <c r="P51" s="1007"/>
      <c r="Q51" s="1007"/>
      <c r="R51" s="1007"/>
      <c r="S51" s="1007"/>
      <c r="T51" s="1007"/>
      <c r="U51" s="1008"/>
      <c r="V51" s="1012">
        <f>H53/K53*N53</f>
        <v>8.3333333333333328E-4</v>
      </c>
      <c r="W51" s="930"/>
      <c r="X51" s="931"/>
    </row>
    <row r="52" spans="1:34" ht="21" customHeight="1">
      <c r="B52" s="1081"/>
      <c r="C52" s="1005"/>
      <c r="D52" s="1005"/>
      <c r="E52" s="1005"/>
      <c r="F52" s="1005"/>
      <c r="G52" s="1005"/>
      <c r="H52" s="1009"/>
      <c r="I52" s="1010"/>
      <c r="J52" s="1010"/>
      <c r="K52" s="1010"/>
      <c r="L52" s="1010"/>
      <c r="M52" s="1010"/>
      <c r="N52" s="1010"/>
      <c r="O52" s="1010"/>
      <c r="P52" s="1010"/>
      <c r="Q52" s="1010"/>
      <c r="R52" s="1010"/>
      <c r="S52" s="1010"/>
      <c r="T52" s="1010"/>
      <c r="U52" s="1011"/>
      <c r="V52" s="1013"/>
      <c r="W52" s="932"/>
      <c r="X52" s="933"/>
    </row>
    <row r="53" spans="1:34" ht="30" customHeight="1">
      <c r="B53" s="1081"/>
      <c r="C53" s="1005"/>
      <c r="D53" s="1005"/>
      <c r="E53" s="1005"/>
      <c r="F53" s="1005"/>
      <c r="G53" s="1005"/>
      <c r="H53" s="1000">
        <v>1</v>
      </c>
      <c r="I53" s="1001"/>
      <c r="J53" s="343" t="s">
        <v>764</v>
      </c>
      <c r="K53" s="1001">
        <v>12</v>
      </c>
      <c r="L53" s="1001"/>
      <c r="M53" s="343" t="s">
        <v>767</v>
      </c>
      <c r="N53" s="1002">
        <v>0.01</v>
      </c>
      <c r="O53" s="1002"/>
      <c r="P53" s="343"/>
      <c r="Q53" s="343"/>
      <c r="R53" s="343"/>
      <c r="S53" s="343"/>
      <c r="T53" s="343"/>
      <c r="U53" s="344"/>
      <c r="V53" s="1014"/>
      <c r="W53" s="934"/>
      <c r="X53" s="935"/>
    </row>
    <row r="54" spans="1:34" ht="23.25" customHeight="1">
      <c r="C54" s="936" t="s">
        <v>776</v>
      </c>
      <c r="D54" s="937"/>
      <c r="E54" s="937"/>
      <c r="F54" s="937"/>
      <c r="G54" s="937"/>
      <c r="H54" s="937"/>
      <c r="I54" s="937"/>
      <c r="J54" s="937"/>
      <c r="K54" s="937"/>
      <c r="L54" s="937"/>
      <c r="M54" s="937"/>
      <c r="N54" s="937"/>
      <c r="O54" s="937"/>
      <c r="P54" s="937"/>
      <c r="Q54" s="937"/>
      <c r="R54" s="937"/>
      <c r="S54" s="937"/>
      <c r="T54" s="937"/>
      <c r="U54" s="937"/>
      <c r="V54" s="938">
        <f>SUM(V42:X53)</f>
        <v>3.6665833333333335E-2</v>
      </c>
      <c r="W54" s="1003"/>
      <c r="X54" s="1003"/>
    </row>
    <row r="55" spans="1:34">
      <c r="C55" s="340"/>
      <c r="D55" s="341"/>
      <c r="E55" s="341"/>
      <c r="F55" s="341"/>
      <c r="G55" s="341"/>
      <c r="H55" s="341"/>
      <c r="I55" s="341"/>
      <c r="J55" s="341"/>
      <c r="K55" s="341"/>
      <c r="L55" s="341"/>
      <c r="M55" s="341"/>
      <c r="N55" s="341"/>
      <c r="O55" s="341"/>
      <c r="P55" s="341"/>
      <c r="Q55" s="341"/>
      <c r="R55" s="341"/>
      <c r="S55" s="341"/>
      <c r="T55" s="341"/>
      <c r="U55" s="341"/>
      <c r="V55" s="367"/>
      <c r="W55" s="376"/>
      <c r="X55" s="377"/>
    </row>
    <row r="56" spans="1:34" ht="26.25" customHeight="1">
      <c r="C56" s="954" t="s">
        <v>788</v>
      </c>
      <c r="D56" s="955"/>
      <c r="E56" s="955"/>
      <c r="F56" s="955"/>
      <c r="G56" s="955"/>
      <c r="H56" s="955"/>
      <c r="I56" s="955"/>
      <c r="J56" s="955"/>
      <c r="K56" s="955"/>
      <c r="L56" s="955"/>
      <c r="M56" s="955"/>
      <c r="N56" s="955"/>
      <c r="O56" s="955"/>
      <c r="P56" s="955"/>
      <c r="Q56" s="955"/>
      <c r="R56" s="955"/>
      <c r="S56" s="955"/>
      <c r="T56" s="955"/>
      <c r="U56" s="955"/>
      <c r="V56" s="955"/>
      <c r="W56" s="955"/>
      <c r="X56" s="957"/>
    </row>
    <row r="57" spans="1:34">
      <c r="B57" s="1081" t="s">
        <v>739</v>
      </c>
      <c r="C57" s="969" t="s">
        <v>789</v>
      </c>
      <c r="D57" s="970"/>
      <c r="E57" s="970"/>
      <c r="F57" s="970"/>
      <c r="G57" s="970"/>
      <c r="H57" s="911" t="s">
        <v>790</v>
      </c>
      <c r="I57" s="912"/>
      <c r="J57" s="912"/>
      <c r="K57" s="912"/>
      <c r="L57" s="912"/>
      <c r="M57" s="912"/>
      <c r="N57" s="912"/>
      <c r="O57" s="912"/>
      <c r="P57" s="912"/>
      <c r="Q57" s="912"/>
      <c r="R57" s="912"/>
      <c r="S57" s="912"/>
      <c r="T57" s="912"/>
      <c r="U57" s="913"/>
      <c r="V57" s="930">
        <f>H60/K60</f>
        <v>8.3333333333333329E-2</v>
      </c>
      <c r="W57" s="930"/>
      <c r="X57" s="931"/>
    </row>
    <row r="58" spans="1:34">
      <c r="B58" s="1081"/>
      <c r="C58" s="969"/>
      <c r="D58" s="970"/>
      <c r="E58" s="970"/>
      <c r="F58" s="970"/>
      <c r="G58" s="970"/>
      <c r="H58" s="972"/>
      <c r="I58" s="973"/>
      <c r="J58" s="973"/>
      <c r="K58" s="973"/>
      <c r="L58" s="973"/>
      <c r="M58" s="973"/>
      <c r="N58" s="973"/>
      <c r="O58" s="973"/>
      <c r="P58" s="973"/>
      <c r="Q58" s="973"/>
      <c r="R58" s="973"/>
      <c r="S58" s="973"/>
      <c r="T58" s="973"/>
      <c r="U58" s="974"/>
      <c r="V58" s="932"/>
      <c r="W58" s="932"/>
      <c r="X58" s="933"/>
    </row>
    <row r="59" spans="1:34">
      <c r="B59" s="1081"/>
      <c r="C59" s="969"/>
      <c r="D59" s="970"/>
      <c r="E59" s="970"/>
      <c r="F59" s="970"/>
      <c r="G59" s="970"/>
      <c r="H59" s="972"/>
      <c r="I59" s="973"/>
      <c r="J59" s="973"/>
      <c r="K59" s="973"/>
      <c r="L59" s="973"/>
      <c r="M59" s="973"/>
      <c r="N59" s="973"/>
      <c r="O59" s="973"/>
      <c r="P59" s="973"/>
      <c r="Q59" s="973"/>
      <c r="R59" s="973"/>
      <c r="S59" s="973"/>
      <c r="T59" s="973"/>
      <c r="U59" s="974"/>
      <c r="V59" s="932"/>
      <c r="W59" s="932"/>
      <c r="X59" s="933"/>
    </row>
    <row r="60" spans="1:34">
      <c r="B60" s="1081"/>
      <c r="C60" s="971"/>
      <c r="D60" s="894"/>
      <c r="E60" s="894"/>
      <c r="F60" s="894"/>
      <c r="G60" s="894"/>
      <c r="H60" s="1000">
        <v>1</v>
      </c>
      <c r="I60" s="1001"/>
      <c r="J60" s="343" t="s">
        <v>764</v>
      </c>
      <c r="K60" s="1001">
        <v>12</v>
      </c>
      <c r="L60" s="1001"/>
      <c r="M60" s="965"/>
      <c r="N60" s="965"/>
      <c r="O60" s="336"/>
      <c r="P60" s="336"/>
      <c r="Q60" s="1004"/>
      <c r="R60" s="1004"/>
      <c r="S60" s="336"/>
      <c r="T60" s="378"/>
      <c r="U60" s="379"/>
      <c r="V60" s="934"/>
      <c r="W60" s="934"/>
      <c r="X60" s="935"/>
      <c r="Z60" s="330"/>
    </row>
    <row r="61" spans="1:34" s="323" customFormat="1">
      <c r="A61" s="324"/>
      <c r="B61" s="1081" t="s">
        <v>741</v>
      </c>
      <c r="C61" s="969" t="s">
        <v>791</v>
      </c>
      <c r="D61" s="970"/>
      <c r="E61" s="970"/>
      <c r="F61" s="970"/>
      <c r="G61" s="970"/>
      <c r="H61" s="911" t="str">
        <f>CONCATENATE("Criada pelo art. 7º, inciso XIX da CF, combinado com o art. 10, § 1º dos Atos das Disposições Constitucionais Transitórias - ADCT, a Licença Paternidade concede ao empregado o direito de ausentar-se do serviço por cinco dias quando do nascimento do filho.","Considera-se que ",Q67*100," % é média de trabalhadores que se tornam pais durante o ano. ","Dessa forma a provisão para este item corresponde a:")</f>
        <v>Criada pelo art. 7º, inciso XIX da CF, combinado com o art. 10, § 1º dos Atos das Disposições Constitucionais Transitórias - ADCT, a Licença Paternidade concede ao empregado o direito de ausentar-se do serviço por cinco dias quando do nascimento do filho.Considera-se que 1,5 % é média de trabalhadores que se tornam pais durante o ano. Dessa forma a provisão para este item corresponde a:</v>
      </c>
      <c r="I61" s="912"/>
      <c r="J61" s="912"/>
      <c r="K61" s="912"/>
      <c r="L61" s="912"/>
      <c r="M61" s="912"/>
      <c r="N61" s="912"/>
      <c r="O61" s="912"/>
      <c r="P61" s="912"/>
      <c r="Q61" s="912"/>
      <c r="R61" s="912"/>
      <c r="S61" s="912"/>
      <c r="T61" s="912"/>
      <c r="U61" s="913"/>
      <c r="V61" s="930">
        <f>(I67/K67/M67*Q67)</f>
        <v>2.0833333333333335E-4</v>
      </c>
      <c r="W61" s="930"/>
      <c r="X61" s="931"/>
      <c r="Y61" s="330"/>
      <c r="AA61" s="324"/>
      <c r="AB61" s="324"/>
      <c r="AC61" s="324"/>
      <c r="AD61" s="324"/>
      <c r="AE61" s="324"/>
      <c r="AF61" s="324"/>
      <c r="AG61" s="324"/>
      <c r="AH61" s="324"/>
    </row>
    <row r="62" spans="1:34" s="323" customFormat="1">
      <c r="A62" s="324"/>
      <c r="B62" s="1081"/>
      <c r="C62" s="969"/>
      <c r="D62" s="970"/>
      <c r="E62" s="970"/>
      <c r="F62" s="970"/>
      <c r="G62" s="970"/>
      <c r="H62" s="972"/>
      <c r="I62" s="973"/>
      <c r="J62" s="973"/>
      <c r="K62" s="973"/>
      <c r="L62" s="973"/>
      <c r="M62" s="973"/>
      <c r="N62" s="973"/>
      <c r="O62" s="973"/>
      <c r="P62" s="973"/>
      <c r="Q62" s="973"/>
      <c r="R62" s="973"/>
      <c r="S62" s="973"/>
      <c r="T62" s="973"/>
      <c r="U62" s="974"/>
      <c r="V62" s="932"/>
      <c r="W62" s="932"/>
      <c r="X62" s="933"/>
      <c r="Y62" s="330"/>
      <c r="AA62" s="324"/>
      <c r="AB62" s="324"/>
      <c r="AC62" s="324"/>
      <c r="AD62" s="324"/>
      <c r="AE62" s="324"/>
      <c r="AF62" s="324"/>
      <c r="AG62" s="324"/>
      <c r="AH62" s="324"/>
    </row>
    <row r="63" spans="1:34" s="323" customFormat="1">
      <c r="A63" s="324"/>
      <c r="B63" s="1081"/>
      <c r="C63" s="969"/>
      <c r="D63" s="970"/>
      <c r="E63" s="970"/>
      <c r="F63" s="970"/>
      <c r="G63" s="970"/>
      <c r="H63" s="972"/>
      <c r="I63" s="973"/>
      <c r="J63" s="973"/>
      <c r="K63" s="973"/>
      <c r="L63" s="973"/>
      <c r="M63" s="973"/>
      <c r="N63" s="973"/>
      <c r="O63" s="973"/>
      <c r="P63" s="973"/>
      <c r="Q63" s="973"/>
      <c r="R63" s="973"/>
      <c r="S63" s="973"/>
      <c r="T63" s="973"/>
      <c r="U63" s="974"/>
      <c r="V63" s="932"/>
      <c r="W63" s="932"/>
      <c r="X63" s="933"/>
      <c r="Y63" s="330"/>
      <c r="AA63" s="324"/>
      <c r="AB63" s="324"/>
      <c r="AC63" s="324"/>
      <c r="AD63" s="324"/>
      <c r="AE63" s="324"/>
      <c r="AF63" s="324"/>
      <c r="AG63" s="324"/>
      <c r="AH63" s="324"/>
    </row>
    <row r="64" spans="1:34" s="323" customFormat="1">
      <c r="A64" s="324"/>
      <c r="B64" s="1081"/>
      <c r="C64" s="969"/>
      <c r="D64" s="970"/>
      <c r="E64" s="970"/>
      <c r="F64" s="970"/>
      <c r="G64" s="970"/>
      <c r="H64" s="972"/>
      <c r="I64" s="973"/>
      <c r="J64" s="973"/>
      <c r="K64" s="973"/>
      <c r="L64" s="973"/>
      <c r="M64" s="973"/>
      <c r="N64" s="973"/>
      <c r="O64" s="973"/>
      <c r="P64" s="973"/>
      <c r="Q64" s="973"/>
      <c r="R64" s="973"/>
      <c r="S64" s="973"/>
      <c r="T64" s="973"/>
      <c r="U64" s="974"/>
      <c r="V64" s="932"/>
      <c r="W64" s="932"/>
      <c r="X64" s="933"/>
      <c r="Y64" s="330"/>
      <c r="AA64" s="324"/>
      <c r="AB64" s="324"/>
      <c r="AC64" s="324"/>
      <c r="AD64" s="324"/>
      <c r="AE64" s="324"/>
      <c r="AF64" s="324"/>
      <c r="AG64" s="324"/>
      <c r="AH64" s="324"/>
    </row>
    <row r="65" spans="1:34" s="323" customFormat="1">
      <c r="A65" s="324"/>
      <c r="B65" s="1081"/>
      <c r="C65" s="969"/>
      <c r="D65" s="970"/>
      <c r="E65" s="970"/>
      <c r="F65" s="970"/>
      <c r="G65" s="970"/>
      <c r="H65" s="972"/>
      <c r="I65" s="973"/>
      <c r="J65" s="973"/>
      <c r="K65" s="973"/>
      <c r="L65" s="973"/>
      <c r="M65" s="973"/>
      <c r="N65" s="973"/>
      <c r="O65" s="973"/>
      <c r="P65" s="973"/>
      <c r="Q65" s="973"/>
      <c r="R65" s="973"/>
      <c r="S65" s="973"/>
      <c r="T65" s="973"/>
      <c r="U65" s="974"/>
      <c r="V65" s="932"/>
      <c r="W65" s="932"/>
      <c r="X65" s="933"/>
      <c r="Y65" s="330"/>
      <c r="AA65" s="324"/>
      <c r="AB65" s="324"/>
      <c r="AC65" s="324"/>
      <c r="AD65" s="324"/>
      <c r="AE65" s="324"/>
      <c r="AF65" s="324"/>
      <c r="AG65" s="324"/>
      <c r="AH65" s="324"/>
    </row>
    <row r="66" spans="1:34" s="323" customFormat="1">
      <c r="A66" s="324"/>
      <c r="B66" s="1081"/>
      <c r="C66" s="969"/>
      <c r="D66" s="970"/>
      <c r="E66" s="970"/>
      <c r="F66" s="970"/>
      <c r="G66" s="970"/>
      <c r="H66" s="972"/>
      <c r="I66" s="973"/>
      <c r="J66" s="973"/>
      <c r="K66" s="973"/>
      <c r="L66" s="973"/>
      <c r="M66" s="973"/>
      <c r="N66" s="973"/>
      <c r="O66" s="973"/>
      <c r="P66" s="973"/>
      <c r="Q66" s="973"/>
      <c r="R66" s="973"/>
      <c r="S66" s="973"/>
      <c r="T66" s="973"/>
      <c r="U66" s="974"/>
      <c r="V66" s="932"/>
      <c r="W66" s="932"/>
      <c r="X66" s="933"/>
      <c r="Y66" s="330"/>
      <c r="AA66" s="324"/>
      <c r="AB66" s="324"/>
      <c r="AC66" s="324"/>
      <c r="AD66" s="324"/>
      <c r="AE66" s="324"/>
      <c r="AF66" s="324"/>
      <c r="AG66" s="324"/>
      <c r="AH66" s="324"/>
    </row>
    <row r="67" spans="1:34" s="323" customFormat="1" ht="23.25" customHeight="1">
      <c r="A67" s="324"/>
      <c r="B67" s="1081"/>
      <c r="C67" s="971"/>
      <c r="D67" s="894"/>
      <c r="E67" s="894"/>
      <c r="F67" s="894"/>
      <c r="G67" s="894"/>
      <c r="H67" s="346" t="s">
        <v>778</v>
      </c>
      <c r="I67" s="349">
        <v>5</v>
      </c>
      <c r="J67" s="352" t="s">
        <v>764</v>
      </c>
      <c r="K67" s="350">
        <v>12</v>
      </c>
      <c r="L67" s="352" t="s">
        <v>764</v>
      </c>
      <c r="M67" s="350">
        <v>30</v>
      </c>
      <c r="N67" s="352" t="s">
        <v>779</v>
      </c>
      <c r="O67" s="338" t="s">
        <v>767</v>
      </c>
      <c r="P67" s="352" t="s">
        <v>778</v>
      </c>
      <c r="Q67" s="944">
        <v>1.4999999999999999E-2</v>
      </c>
      <c r="R67" s="944"/>
      <c r="S67" s="352" t="s">
        <v>779</v>
      </c>
      <c r="T67" s="356"/>
      <c r="U67" s="357"/>
      <c r="V67" s="934"/>
      <c r="W67" s="934"/>
      <c r="X67" s="935"/>
      <c r="Y67" s="330"/>
      <c r="AA67" s="324"/>
      <c r="AB67" s="324"/>
      <c r="AC67" s="324"/>
      <c r="AD67" s="324"/>
      <c r="AE67" s="324"/>
      <c r="AF67" s="324"/>
      <c r="AG67" s="324"/>
      <c r="AH67" s="324"/>
    </row>
    <row r="68" spans="1:34" s="323" customFormat="1">
      <c r="A68" s="324"/>
      <c r="B68" s="1081" t="s">
        <v>743</v>
      </c>
      <c r="C68" s="1019" t="s">
        <v>792</v>
      </c>
      <c r="D68" s="1020"/>
      <c r="E68" s="1020"/>
      <c r="F68" s="1020"/>
      <c r="G68" s="1020"/>
      <c r="H68" s="911" t="str">
        <f>CONCATENATE("Ausências ao trabalho asseguradas ao empregado pelos artigos 473 e 822 da CLT, Art. 430 do CPP, art. 419, parágrafo único do CPC, e Súmula nº 155 do TST"," (morte de cônjuge, ascendente, descendente, casamento, nascimento de filho, doação de sangue, alistamento eleitoral, serviço militar, comparecer à Juízo).","Assim considerou-se em média ",I72," ausência por trabalhador no ano:")</f>
        <v>Ausências ao trabalho asseguradas ao empregado pelos artigos 473 e 822 da CLT, Art. 430 do CPP, art. 419, parágrafo único do CPC, e Súmula nº 155 do TST (morte de cônjuge, ascendente, descendente, casamento, nascimento de filho, doação de sangue, alistamento eleitoral, serviço militar, comparecer à Juízo).Assim considerou-se em média 1 ausência por trabalhador no ano:</v>
      </c>
      <c r="I68" s="912"/>
      <c r="J68" s="912"/>
      <c r="K68" s="912"/>
      <c r="L68" s="912"/>
      <c r="M68" s="912"/>
      <c r="N68" s="912"/>
      <c r="O68" s="912"/>
      <c r="P68" s="912"/>
      <c r="Q68" s="912"/>
      <c r="R68" s="912"/>
      <c r="S68" s="912"/>
      <c r="T68" s="912"/>
      <c r="U68" s="913"/>
      <c r="V68" s="930">
        <f>I72/K72/M72</f>
        <v>2.7777777777777775E-3</v>
      </c>
      <c r="W68" s="930"/>
      <c r="X68" s="931"/>
      <c r="Y68" s="330"/>
      <c r="AA68" s="324"/>
      <c r="AB68" s="324"/>
      <c r="AC68" s="324"/>
      <c r="AD68" s="324"/>
      <c r="AE68" s="324"/>
      <c r="AF68" s="324"/>
      <c r="AG68" s="324"/>
      <c r="AH68" s="324"/>
    </row>
    <row r="69" spans="1:34" s="323" customFormat="1">
      <c r="A69" s="324"/>
      <c r="B69" s="1081"/>
      <c r="C69" s="1019"/>
      <c r="D69" s="1020"/>
      <c r="E69" s="1020"/>
      <c r="F69" s="1020"/>
      <c r="G69" s="1020"/>
      <c r="H69" s="972"/>
      <c r="I69" s="973"/>
      <c r="J69" s="973"/>
      <c r="K69" s="973"/>
      <c r="L69" s="973"/>
      <c r="M69" s="973"/>
      <c r="N69" s="973"/>
      <c r="O69" s="973"/>
      <c r="P69" s="973"/>
      <c r="Q69" s="973"/>
      <c r="R69" s="973"/>
      <c r="S69" s="973"/>
      <c r="T69" s="973"/>
      <c r="U69" s="974"/>
      <c r="V69" s="932"/>
      <c r="W69" s="932"/>
      <c r="X69" s="933"/>
      <c r="Y69" s="330"/>
      <c r="AA69" s="324"/>
      <c r="AB69" s="324"/>
      <c r="AC69" s="324"/>
      <c r="AD69" s="324"/>
      <c r="AE69" s="324"/>
      <c r="AF69" s="324"/>
      <c r="AG69" s="324"/>
      <c r="AH69" s="324"/>
    </row>
    <row r="70" spans="1:34" s="323" customFormat="1">
      <c r="A70" s="324"/>
      <c r="B70" s="1081"/>
      <c r="C70" s="1019"/>
      <c r="D70" s="1020"/>
      <c r="E70" s="1020"/>
      <c r="F70" s="1020"/>
      <c r="G70" s="1020"/>
      <c r="H70" s="972"/>
      <c r="I70" s="973"/>
      <c r="J70" s="973"/>
      <c r="K70" s="973"/>
      <c r="L70" s="973"/>
      <c r="M70" s="973"/>
      <c r="N70" s="973"/>
      <c r="O70" s="973"/>
      <c r="P70" s="973"/>
      <c r="Q70" s="973"/>
      <c r="R70" s="973"/>
      <c r="S70" s="973"/>
      <c r="T70" s="973"/>
      <c r="U70" s="974"/>
      <c r="V70" s="932"/>
      <c r="W70" s="932"/>
      <c r="X70" s="933"/>
      <c r="Y70" s="330"/>
      <c r="AA70" s="324"/>
      <c r="AB70" s="324"/>
      <c r="AC70" s="324"/>
      <c r="AD70" s="324"/>
      <c r="AE70" s="324"/>
      <c r="AF70" s="324"/>
      <c r="AG70" s="324"/>
      <c r="AH70" s="324"/>
    </row>
    <row r="71" spans="1:34" s="323" customFormat="1" ht="36" customHeight="1">
      <c r="A71" s="324"/>
      <c r="B71" s="1081"/>
      <c r="C71" s="1019"/>
      <c r="D71" s="1020"/>
      <c r="E71" s="1020"/>
      <c r="F71" s="1020"/>
      <c r="G71" s="1020"/>
      <c r="H71" s="972"/>
      <c r="I71" s="973"/>
      <c r="J71" s="973"/>
      <c r="K71" s="973"/>
      <c r="L71" s="973"/>
      <c r="M71" s="973"/>
      <c r="N71" s="973"/>
      <c r="O71" s="973"/>
      <c r="P71" s="973"/>
      <c r="Q71" s="973"/>
      <c r="R71" s="973"/>
      <c r="S71" s="973"/>
      <c r="T71" s="973"/>
      <c r="U71" s="974"/>
      <c r="V71" s="932"/>
      <c r="W71" s="932"/>
      <c r="X71" s="933"/>
      <c r="Y71" s="330"/>
      <c r="AA71" s="324"/>
      <c r="AB71" s="324"/>
      <c r="AC71" s="324"/>
      <c r="AD71" s="324"/>
      <c r="AE71" s="324"/>
      <c r="AF71" s="324"/>
      <c r="AG71" s="324"/>
      <c r="AH71" s="324"/>
    </row>
    <row r="72" spans="1:34" s="323" customFormat="1" ht="24" customHeight="1">
      <c r="A72" s="324"/>
      <c r="B72" s="1081"/>
      <c r="C72" s="1021"/>
      <c r="D72" s="1022"/>
      <c r="E72" s="1022"/>
      <c r="F72" s="1022"/>
      <c r="G72" s="1022"/>
      <c r="H72" s="346" t="s">
        <v>778</v>
      </c>
      <c r="I72" s="349">
        <v>1</v>
      </c>
      <c r="J72" s="352" t="s">
        <v>764</v>
      </c>
      <c r="K72" s="350">
        <v>12</v>
      </c>
      <c r="L72" s="352" t="s">
        <v>764</v>
      </c>
      <c r="M72" s="350">
        <v>30</v>
      </c>
      <c r="N72" s="352" t="s">
        <v>779</v>
      </c>
      <c r="O72" s="338"/>
      <c r="P72" s="338"/>
      <c r="Q72" s="338"/>
      <c r="R72" s="338"/>
      <c r="S72" s="338"/>
      <c r="T72" s="356"/>
      <c r="U72" s="357"/>
      <c r="V72" s="934"/>
      <c r="W72" s="934"/>
      <c r="X72" s="935"/>
      <c r="Y72" s="330"/>
      <c r="AA72" s="324"/>
      <c r="AB72" s="324"/>
      <c r="AC72" s="324"/>
      <c r="AD72" s="324"/>
      <c r="AE72" s="324"/>
      <c r="AF72" s="324"/>
      <c r="AG72" s="324"/>
      <c r="AH72" s="324"/>
    </row>
    <row r="73" spans="1:34" s="323" customFormat="1" ht="15.75" customHeight="1">
      <c r="A73" s="324"/>
      <c r="B73" s="1081" t="s">
        <v>745</v>
      </c>
      <c r="C73" s="911" t="s">
        <v>793</v>
      </c>
      <c r="D73" s="947"/>
      <c r="E73" s="947"/>
      <c r="F73" s="947"/>
      <c r="G73" s="948"/>
      <c r="H73" s="911" t="str">
        <f>CONCATENATE("Fundamento Legal :Artigos, 7º, XXI, da CF/88, Arts. 477, 487, 488 e 491 da CLT. Essa rubrica refere-se ao provisionamento a ser pago à empresa para que a mesma substitua o empregado que esteja cumprindo aviso prévio e sofra redução de 2 (duas)"," horas diárias em sua jornada de trabalho no mês de aviso prévio, ou opte por faltar ao serviço por 7 (sete) dias corridos, no caso de o empregador rescindir o contrato sem justo motivo e conceder aviso prévio."," Estima-se em: ",Q79*100," % a estatística anual de empregados que recebem aviso prévio trabalhado.""")</f>
        <v>Fundamento Legal :Artigos, 7º, XXI, da CF/88, Arts. 477, 487, 488 e 491 da CLT. Essa rubrica refere-se ao provisionamento a ser pago à empresa para que a mesma substitua o empregado que esteja cumprindo aviso prévio e sofra redução de 2 (duas) horas diárias em sua jornada de trabalho no mês de aviso prévio, ou opte por faltar ao serviço por 7 (sete) dias corridos, no caso de o empregador rescindir o contrato sem justo motivo e conceder aviso prévio. Estima-se em: 5 % a estatística anual de empregados que recebem aviso prévio trabalhado."</v>
      </c>
      <c r="I73" s="912"/>
      <c r="J73" s="912"/>
      <c r="K73" s="912"/>
      <c r="L73" s="912"/>
      <c r="M73" s="912"/>
      <c r="N73" s="912"/>
      <c r="O73" s="912"/>
      <c r="P73" s="912"/>
      <c r="Q73" s="912"/>
      <c r="R73" s="912"/>
      <c r="S73" s="912"/>
      <c r="T73" s="912"/>
      <c r="U73" s="913"/>
      <c r="V73" s="930">
        <f>(I79/K79/M79*Q79)</f>
        <v>9.722222222222223E-4</v>
      </c>
      <c r="W73" s="930"/>
      <c r="X73" s="931"/>
      <c r="Y73" s="330"/>
      <c r="AA73" s="324"/>
      <c r="AB73" s="324"/>
      <c r="AC73" s="324"/>
      <c r="AD73" s="324"/>
      <c r="AE73" s="324"/>
      <c r="AF73" s="324"/>
      <c r="AG73" s="324"/>
      <c r="AH73" s="324"/>
    </row>
    <row r="74" spans="1:34" s="323" customFormat="1">
      <c r="A74" s="324"/>
      <c r="B74" s="1081"/>
      <c r="C74" s="972"/>
      <c r="D74" s="1017"/>
      <c r="E74" s="1017"/>
      <c r="F74" s="1017"/>
      <c r="G74" s="1018"/>
      <c r="H74" s="972"/>
      <c r="I74" s="973"/>
      <c r="J74" s="973"/>
      <c r="K74" s="973"/>
      <c r="L74" s="973"/>
      <c r="M74" s="973"/>
      <c r="N74" s="973"/>
      <c r="O74" s="973"/>
      <c r="P74" s="973"/>
      <c r="Q74" s="973"/>
      <c r="R74" s="973"/>
      <c r="S74" s="973"/>
      <c r="T74" s="973"/>
      <c r="U74" s="974"/>
      <c r="V74" s="932"/>
      <c r="W74" s="932"/>
      <c r="X74" s="933"/>
      <c r="Y74" s="330"/>
      <c r="AA74" s="324"/>
      <c r="AB74" s="324"/>
      <c r="AC74" s="324"/>
      <c r="AD74" s="324"/>
      <c r="AE74" s="324"/>
      <c r="AF74" s="324"/>
      <c r="AG74" s="324"/>
      <c r="AH74" s="324"/>
    </row>
    <row r="75" spans="1:34" s="323" customFormat="1">
      <c r="A75" s="324"/>
      <c r="B75" s="1081"/>
      <c r="C75" s="972"/>
      <c r="D75" s="1017"/>
      <c r="E75" s="1017"/>
      <c r="F75" s="1017"/>
      <c r="G75" s="1018"/>
      <c r="H75" s="972"/>
      <c r="I75" s="973"/>
      <c r="J75" s="973"/>
      <c r="K75" s="973"/>
      <c r="L75" s="973"/>
      <c r="M75" s="973"/>
      <c r="N75" s="973"/>
      <c r="O75" s="973"/>
      <c r="P75" s="973"/>
      <c r="Q75" s="973"/>
      <c r="R75" s="973"/>
      <c r="S75" s="973"/>
      <c r="T75" s="973"/>
      <c r="U75" s="974"/>
      <c r="V75" s="932"/>
      <c r="W75" s="932"/>
      <c r="X75" s="933"/>
      <c r="Y75" s="330"/>
      <c r="AA75" s="324"/>
      <c r="AB75" s="324"/>
      <c r="AC75" s="324"/>
      <c r="AD75" s="324"/>
      <c r="AE75" s="324"/>
      <c r="AF75" s="324"/>
      <c r="AG75" s="324"/>
      <c r="AH75" s="324"/>
    </row>
    <row r="76" spans="1:34" s="323" customFormat="1">
      <c r="A76" s="324"/>
      <c r="B76" s="1081"/>
      <c r="C76" s="972"/>
      <c r="D76" s="1017"/>
      <c r="E76" s="1017"/>
      <c r="F76" s="1017"/>
      <c r="G76" s="1018"/>
      <c r="H76" s="972"/>
      <c r="I76" s="973"/>
      <c r="J76" s="973"/>
      <c r="K76" s="973"/>
      <c r="L76" s="973"/>
      <c r="M76" s="973"/>
      <c r="N76" s="973"/>
      <c r="O76" s="973"/>
      <c r="P76" s="973"/>
      <c r="Q76" s="973"/>
      <c r="R76" s="973"/>
      <c r="S76" s="973"/>
      <c r="T76" s="973"/>
      <c r="U76" s="974"/>
      <c r="V76" s="932"/>
      <c r="W76" s="932"/>
      <c r="X76" s="933"/>
      <c r="Y76" s="330"/>
      <c r="AA76" s="324"/>
      <c r="AB76" s="324"/>
      <c r="AC76" s="324"/>
      <c r="AD76" s="324"/>
      <c r="AE76" s="324"/>
      <c r="AF76" s="324"/>
      <c r="AG76" s="324"/>
      <c r="AH76" s="324"/>
    </row>
    <row r="77" spans="1:34" s="323" customFormat="1">
      <c r="A77" s="324"/>
      <c r="B77" s="1081"/>
      <c r="C77" s="972"/>
      <c r="D77" s="1017"/>
      <c r="E77" s="1017"/>
      <c r="F77" s="1017"/>
      <c r="G77" s="1018"/>
      <c r="H77" s="972"/>
      <c r="I77" s="973"/>
      <c r="J77" s="973"/>
      <c r="K77" s="973"/>
      <c r="L77" s="973"/>
      <c r="M77" s="973"/>
      <c r="N77" s="973"/>
      <c r="O77" s="973"/>
      <c r="P77" s="973"/>
      <c r="Q77" s="973"/>
      <c r="R77" s="973"/>
      <c r="S77" s="973"/>
      <c r="T77" s="973"/>
      <c r="U77" s="974"/>
      <c r="V77" s="932"/>
      <c r="W77" s="932"/>
      <c r="X77" s="933"/>
      <c r="Y77" s="330"/>
      <c r="AA77" s="324"/>
      <c r="AB77" s="324"/>
      <c r="AC77" s="324"/>
      <c r="AD77" s="324"/>
      <c r="AE77" s="324"/>
      <c r="AF77" s="324"/>
      <c r="AG77" s="324"/>
      <c r="AH77" s="324"/>
    </row>
    <row r="78" spans="1:34" s="323" customFormat="1" ht="33" customHeight="1">
      <c r="A78" s="324"/>
      <c r="B78" s="1081"/>
      <c r="C78" s="972"/>
      <c r="D78" s="1017"/>
      <c r="E78" s="1017"/>
      <c r="F78" s="1017"/>
      <c r="G78" s="1018"/>
      <c r="H78" s="972"/>
      <c r="I78" s="973"/>
      <c r="J78" s="973"/>
      <c r="K78" s="973"/>
      <c r="L78" s="973"/>
      <c r="M78" s="973"/>
      <c r="N78" s="973"/>
      <c r="O78" s="973"/>
      <c r="P78" s="973"/>
      <c r="Q78" s="973"/>
      <c r="R78" s="973"/>
      <c r="S78" s="973"/>
      <c r="T78" s="973"/>
      <c r="U78" s="974"/>
      <c r="V78" s="932"/>
      <c r="W78" s="932"/>
      <c r="X78" s="933"/>
      <c r="Y78" s="330"/>
      <c r="AA78" s="324"/>
      <c r="AB78" s="324"/>
      <c r="AC78" s="324"/>
      <c r="AD78" s="324"/>
      <c r="AE78" s="324"/>
      <c r="AF78" s="324"/>
      <c r="AG78" s="324"/>
      <c r="AH78" s="324"/>
    </row>
    <row r="79" spans="1:34" s="323" customFormat="1">
      <c r="A79" s="324"/>
      <c r="B79" s="1081"/>
      <c r="C79" s="949"/>
      <c r="D79" s="950"/>
      <c r="E79" s="950"/>
      <c r="F79" s="950"/>
      <c r="G79" s="951"/>
      <c r="H79" s="346" t="s">
        <v>778</v>
      </c>
      <c r="I79" s="349">
        <v>7</v>
      </c>
      <c r="J79" s="352" t="s">
        <v>764</v>
      </c>
      <c r="K79" s="350">
        <v>12</v>
      </c>
      <c r="L79" s="352" t="s">
        <v>764</v>
      </c>
      <c r="M79" s="350">
        <v>30</v>
      </c>
      <c r="N79" s="352" t="s">
        <v>779</v>
      </c>
      <c r="O79" s="352" t="s">
        <v>767</v>
      </c>
      <c r="P79" s="352" t="s">
        <v>778</v>
      </c>
      <c r="Q79" s="944">
        <v>0.05</v>
      </c>
      <c r="R79" s="944"/>
      <c r="S79" s="352" t="s">
        <v>779</v>
      </c>
      <c r="T79" s="356"/>
      <c r="U79" s="357"/>
      <c r="V79" s="934"/>
      <c r="W79" s="934"/>
      <c r="X79" s="935"/>
      <c r="Y79" s="330"/>
      <c r="AA79" s="324"/>
      <c r="AB79" s="324"/>
      <c r="AC79" s="324"/>
      <c r="AD79" s="324"/>
      <c r="AE79" s="324"/>
      <c r="AF79" s="324"/>
      <c r="AG79" s="324"/>
      <c r="AH79" s="324"/>
    </row>
    <row r="80" spans="1:34" s="323" customFormat="1">
      <c r="A80" s="324"/>
      <c r="C80" s="920" t="s">
        <v>794</v>
      </c>
      <c r="D80" s="885"/>
      <c r="E80" s="885"/>
      <c r="F80" s="885"/>
      <c r="G80" s="885"/>
      <c r="H80" s="885"/>
      <c r="I80" s="885"/>
      <c r="J80" s="885"/>
      <c r="K80" s="885"/>
      <c r="L80" s="885"/>
      <c r="M80" s="885"/>
      <c r="N80" s="885"/>
      <c r="O80" s="885"/>
      <c r="P80" s="885"/>
      <c r="Q80" s="885"/>
      <c r="R80" s="885"/>
      <c r="S80" s="885"/>
      <c r="T80" s="885"/>
      <c r="U80" s="885"/>
      <c r="V80" s="921">
        <f>SUM(V57:X79)</f>
        <v>8.729166666666667E-2</v>
      </c>
      <c r="W80" s="881"/>
      <c r="X80" s="881"/>
      <c r="Y80" s="330"/>
      <c r="AA80" s="324"/>
      <c r="AB80" s="324"/>
      <c r="AC80" s="324"/>
      <c r="AD80" s="324"/>
      <c r="AE80" s="324"/>
      <c r="AF80" s="324"/>
      <c r="AG80" s="324"/>
      <c r="AH80" s="324"/>
    </row>
    <row r="81" spans="1:34" s="323" customFormat="1" ht="18" customHeight="1">
      <c r="A81" s="324"/>
      <c r="B81" s="342" t="s">
        <v>747</v>
      </c>
      <c r="C81" s="922" t="s">
        <v>795</v>
      </c>
      <c r="D81" s="907"/>
      <c r="E81" s="907"/>
      <c r="F81" s="907"/>
      <c r="G81" s="907"/>
      <c r="H81" s="907"/>
      <c r="I81" s="907"/>
      <c r="J81" s="907"/>
      <c r="K81" s="907"/>
      <c r="L81" s="907"/>
      <c r="M81" s="907"/>
      <c r="N81" s="907"/>
      <c r="O81" s="907"/>
      <c r="P81" s="907"/>
      <c r="Q81" s="923">
        <f>V13</f>
        <v>0.3680000000000001</v>
      </c>
      <c r="R81" s="924"/>
      <c r="S81" s="361" t="s">
        <v>767</v>
      </c>
      <c r="T81" s="925">
        <f>V80</f>
        <v>8.729166666666667E-2</v>
      </c>
      <c r="U81" s="926"/>
      <c r="V81" s="927">
        <f>(Q81*T81)</f>
        <v>3.2123333333333344E-2</v>
      </c>
      <c r="W81" s="928"/>
      <c r="X81" s="929"/>
      <c r="Y81" s="330"/>
      <c r="AA81" s="324"/>
      <c r="AB81" s="324"/>
      <c r="AC81" s="324"/>
      <c r="AD81" s="324"/>
      <c r="AE81" s="324"/>
      <c r="AF81" s="324"/>
      <c r="AG81" s="324"/>
      <c r="AH81" s="324"/>
    </row>
    <row r="82" spans="1:34" s="323" customFormat="1" ht="18" customHeight="1">
      <c r="A82" s="324"/>
      <c r="B82" s="1082" t="s">
        <v>749</v>
      </c>
      <c r="C82" s="1023" t="s">
        <v>796</v>
      </c>
      <c r="D82" s="1024"/>
      <c r="E82" s="1024"/>
      <c r="F82" s="1024"/>
      <c r="G82" s="1025"/>
      <c r="H82" s="1031" t="str">
        <f>CONCATENATE("Esta parcela refere-se aos dias em que o empregado fica doente e a contratada deve providenciar sua substituição. Estimamos em ",I87," ausências ao ano por trabalhador, devendo-se converter esses dias em mês e depois dividi-lo pelo número de meses no ano."," Fundamento Legal: Artigos 59 a 64 da Lei n.º 8.213/1991 e Arts. 71 a 80 do Decreto nº 3.048/99 (Regul. Previdência Social).")</f>
        <v>Esta parcela refere-se aos dias em que o empregado fica doente e a contratada deve providenciar sua substituição. Estimamos em 4,14 ausências ao ano por trabalhador, devendo-se converter esses dias em mês e depois dividi-lo pelo número de meses no ano. Fundamento Legal: Artigos 59 a 64 da Lei n.º 8.213/1991 e Arts. 71 a 80 do Decreto nº 3.048/99 (Regul. Previdência Social).</v>
      </c>
      <c r="I82" s="1032"/>
      <c r="J82" s="1032"/>
      <c r="K82" s="1032"/>
      <c r="L82" s="1032"/>
      <c r="M82" s="1032"/>
      <c r="N82" s="1032"/>
      <c r="O82" s="1032"/>
      <c r="P82" s="1032"/>
      <c r="Q82" s="1032"/>
      <c r="R82" s="1032"/>
      <c r="S82" s="1032"/>
      <c r="T82" s="1032"/>
      <c r="U82" s="1033"/>
      <c r="V82" s="1012">
        <f>(I87/K87/M87)</f>
        <v>1.1499999999999998E-2</v>
      </c>
      <c r="W82" s="1037"/>
      <c r="X82" s="1038"/>
      <c r="Y82" s="330"/>
      <c r="AA82" s="324"/>
      <c r="AB82" s="324"/>
      <c r="AC82" s="324"/>
      <c r="AD82" s="324"/>
      <c r="AE82" s="324"/>
      <c r="AF82" s="324"/>
      <c r="AG82" s="324"/>
      <c r="AH82" s="324"/>
    </row>
    <row r="83" spans="1:34" s="323" customFormat="1" ht="18" customHeight="1">
      <c r="A83" s="324"/>
      <c r="B83" s="1083"/>
      <c r="C83" s="969"/>
      <c r="D83" s="1026"/>
      <c r="E83" s="1026"/>
      <c r="F83" s="1026"/>
      <c r="G83" s="1027"/>
      <c r="H83" s="1034"/>
      <c r="I83" s="1035"/>
      <c r="J83" s="1035"/>
      <c r="K83" s="1035"/>
      <c r="L83" s="1035"/>
      <c r="M83" s="1035"/>
      <c r="N83" s="1035"/>
      <c r="O83" s="1035"/>
      <c r="P83" s="1035"/>
      <c r="Q83" s="1035"/>
      <c r="R83" s="1035"/>
      <c r="S83" s="1035"/>
      <c r="T83" s="1035"/>
      <c r="U83" s="1036"/>
      <c r="V83" s="1013"/>
      <c r="W83" s="1039"/>
      <c r="X83" s="1040"/>
      <c r="Y83" s="330"/>
      <c r="AA83" s="324"/>
      <c r="AB83" s="324"/>
      <c r="AC83" s="324"/>
      <c r="AD83" s="324"/>
      <c r="AE83" s="324"/>
      <c r="AF83" s="324"/>
      <c r="AG83" s="324"/>
      <c r="AH83" s="324"/>
    </row>
    <row r="84" spans="1:34" s="323" customFormat="1" ht="18" customHeight="1">
      <c r="A84" s="324"/>
      <c r="B84" s="1083"/>
      <c r="C84" s="969"/>
      <c r="D84" s="1026"/>
      <c r="E84" s="1026"/>
      <c r="F84" s="1026"/>
      <c r="G84" s="1027"/>
      <c r="H84" s="1034"/>
      <c r="I84" s="1035"/>
      <c r="J84" s="1035"/>
      <c r="K84" s="1035"/>
      <c r="L84" s="1035"/>
      <c r="M84" s="1035"/>
      <c r="N84" s="1035"/>
      <c r="O84" s="1035"/>
      <c r="P84" s="1035"/>
      <c r="Q84" s="1035"/>
      <c r="R84" s="1035"/>
      <c r="S84" s="1035"/>
      <c r="T84" s="1035"/>
      <c r="U84" s="1036"/>
      <c r="V84" s="1013"/>
      <c r="W84" s="1039"/>
      <c r="X84" s="1040"/>
      <c r="Y84" s="330"/>
      <c r="AA84" s="324"/>
      <c r="AB84" s="324"/>
      <c r="AC84" s="324"/>
      <c r="AD84" s="324"/>
      <c r="AE84" s="324"/>
      <c r="AF84" s="324"/>
      <c r="AG84" s="324"/>
      <c r="AH84" s="324"/>
    </row>
    <row r="85" spans="1:34" s="323" customFormat="1" ht="18" customHeight="1">
      <c r="A85" s="324"/>
      <c r="B85" s="1083"/>
      <c r="C85" s="969"/>
      <c r="D85" s="1026"/>
      <c r="E85" s="1026"/>
      <c r="F85" s="1026"/>
      <c r="G85" s="1027"/>
      <c r="H85" s="1034"/>
      <c r="I85" s="1035"/>
      <c r="J85" s="1035"/>
      <c r="K85" s="1035"/>
      <c r="L85" s="1035"/>
      <c r="M85" s="1035"/>
      <c r="N85" s="1035"/>
      <c r="O85" s="1035"/>
      <c r="P85" s="1035"/>
      <c r="Q85" s="1035"/>
      <c r="R85" s="1035"/>
      <c r="S85" s="1035"/>
      <c r="T85" s="1035"/>
      <c r="U85" s="1036"/>
      <c r="V85" s="1013"/>
      <c r="W85" s="1039"/>
      <c r="X85" s="1040"/>
      <c r="Y85" s="330"/>
      <c r="AA85" s="324"/>
      <c r="AB85" s="324"/>
      <c r="AC85" s="324"/>
      <c r="AD85" s="324"/>
      <c r="AE85" s="324"/>
      <c r="AF85" s="324"/>
      <c r="AG85" s="324"/>
      <c r="AH85" s="324"/>
    </row>
    <row r="86" spans="1:34" s="323" customFormat="1" ht="18" customHeight="1">
      <c r="A86" s="324"/>
      <c r="B86" s="1083"/>
      <c r="C86" s="969"/>
      <c r="D86" s="1026"/>
      <c r="E86" s="1026"/>
      <c r="F86" s="1026"/>
      <c r="G86" s="1027"/>
      <c r="H86" s="1034"/>
      <c r="I86" s="1035"/>
      <c r="J86" s="1035"/>
      <c r="K86" s="1035"/>
      <c r="L86" s="1035"/>
      <c r="M86" s="1035"/>
      <c r="N86" s="1035"/>
      <c r="O86" s="1035"/>
      <c r="P86" s="1035"/>
      <c r="Q86" s="1035"/>
      <c r="R86" s="1035"/>
      <c r="S86" s="1035"/>
      <c r="T86" s="1035"/>
      <c r="U86" s="1036"/>
      <c r="V86" s="1013"/>
      <c r="W86" s="1039"/>
      <c r="X86" s="1040"/>
      <c r="Y86" s="330"/>
      <c r="AA86" s="324"/>
      <c r="AB86" s="324"/>
      <c r="AC86" s="324"/>
      <c r="AD86" s="324"/>
      <c r="AE86" s="324"/>
      <c r="AF86" s="324"/>
      <c r="AG86" s="324"/>
      <c r="AH86" s="324"/>
    </row>
    <row r="87" spans="1:34" s="323" customFormat="1" ht="18" customHeight="1">
      <c r="A87" s="324"/>
      <c r="B87" s="1084"/>
      <c r="C87" s="1028"/>
      <c r="D87" s="1029"/>
      <c r="E87" s="1029"/>
      <c r="F87" s="1029"/>
      <c r="G87" s="1030"/>
      <c r="H87" s="346" t="s">
        <v>778</v>
      </c>
      <c r="I87" s="392">
        <v>4.1399999999999997</v>
      </c>
      <c r="J87" s="352" t="s">
        <v>764</v>
      </c>
      <c r="K87" s="350">
        <v>30</v>
      </c>
      <c r="L87" s="352" t="s">
        <v>764</v>
      </c>
      <c r="M87" s="350">
        <v>12</v>
      </c>
      <c r="N87" s="352" t="s">
        <v>779</v>
      </c>
      <c r="O87" s="338"/>
      <c r="P87" s="338"/>
      <c r="Q87" s="338"/>
      <c r="R87" s="338"/>
      <c r="S87" s="338"/>
      <c r="T87" s="356"/>
      <c r="U87" s="357"/>
      <c r="V87" s="1041"/>
      <c r="W87" s="1042"/>
      <c r="X87" s="1043"/>
      <c r="Y87" s="330"/>
      <c r="AA87" s="324"/>
      <c r="AB87" s="324"/>
      <c r="AC87" s="324"/>
      <c r="AD87" s="324"/>
      <c r="AE87" s="324"/>
      <c r="AF87" s="324"/>
      <c r="AG87" s="324"/>
      <c r="AH87" s="324"/>
    </row>
    <row r="88" spans="1:34" s="323" customFormat="1" ht="18" customHeight="1">
      <c r="A88" s="324"/>
      <c r="B88" s="1081" t="s">
        <v>751</v>
      </c>
      <c r="C88" s="911" t="s">
        <v>797</v>
      </c>
      <c r="D88" s="947"/>
      <c r="E88" s="947"/>
      <c r="F88" s="947"/>
      <c r="G88" s="948"/>
      <c r="H88" s="911" t="str">
        <f>CONCATENATE("A Lei nº 8.213/1991 (Arts. 19 a 23 e 60), obriga o empregador a assumir ônus financeiro pelo prazo de 15 dias, no caso de acidente de trabalho.","Estima-se em ",Q92*100," % a média de trabalhadores que sofrem acidente durante o ano.")</f>
        <v>A Lei nº 8.213/1991 (Arts. 19 a 23 e 60), obriga o empregador a assumir ônus financeiro pelo prazo de 15 dias, no caso de acidente de trabalho.Estima-se em 8 % a média de trabalhadores que sofrem acidente durante o ano.</v>
      </c>
      <c r="I88" s="912"/>
      <c r="J88" s="912"/>
      <c r="K88" s="912"/>
      <c r="L88" s="912"/>
      <c r="M88" s="912"/>
      <c r="N88" s="912"/>
      <c r="O88" s="912"/>
      <c r="P88" s="912"/>
      <c r="Q88" s="912"/>
      <c r="R88" s="912"/>
      <c r="S88" s="912"/>
      <c r="T88" s="912"/>
      <c r="U88" s="913"/>
      <c r="V88" s="930">
        <f>(I92/K92/M92*Q92)</f>
        <v>3.3333333333333331E-3</v>
      </c>
      <c r="W88" s="930"/>
      <c r="X88" s="931"/>
      <c r="Y88" s="330"/>
      <c r="AA88" s="324"/>
      <c r="AB88" s="324"/>
      <c r="AC88" s="324"/>
      <c r="AD88" s="324"/>
      <c r="AE88" s="324"/>
      <c r="AF88" s="324"/>
      <c r="AG88" s="324"/>
      <c r="AH88" s="324"/>
    </row>
    <row r="89" spans="1:34" s="323" customFormat="1" ht="18" customHeight="1">
      <c r="A89" s="324"/>
      <c r="B89" s="1081"/>
      <c r="C89" s="972"/>
      <c r="D89" s="1017"/>
      <c r="E89" s="1017"/>
      <c r="F89" s="1017"/>
      <c r="G89" s="1018"/>
      <c r="H89" s="972"/>
      <c r="I89" s="973"/>
      <c r="J89" s="973"/>
      <c r="K89" s="973"/>
      <c r="L89" s="973"/>
      <c r="M89" s="973"/>
      <c r="N89" s="973"/>
      <c r="O89" s="973"/>
      <c r="P89" s="973"/>
      <c r="Q89" s="973"/>
      <c r="R89" s="973"/>
      <c r="S89" s="973"/>
      <c r="T89" s="973"/>
      <c r="U89" s="974"/>
      <c r="V89" s="932"/>
      <c r="W89" s="932"/>
      <c r="X89" s="933"/>
      <c r="Y89" s="330"/>
      <c r="AA89" s="324"/>
      <c r="AB89" s="324"/>
      <c r="AC89" s="324"/>
      <c r="AD89" s="324"/>
      <c r="AE89" s="324"/>
      <c r="AF89" s="324"/>
      <c r="AG89" s="324"/>
      <c r="AH89" s="324"/>
    </row>
    <row r="90" spans="1:34" s="323" customFormat="1" ht="18" customHeight="1">
      <c r="A90" s="324"/>
      <c r="B90" s="1081"/>
      <c r="C90" s="972"/>
      <c r="D90" s="1017"/>
      <c r="E90" s="1017"/>
      <c r="F90" s="1017"/>
      <c r="G90" s="1018"/>
      <c r="H90" s="972"/>
      <c r="I90" s="973"/>
      <c r="J90" s="973"/>
      <c r="K90" s="973"/>
      <c r="L90" s="973"/>
      <c r="M90" s="973"/>
      <c r="N90" s="973"/>
      <c r="O90" s="973"/>
      <c r="P90" s="973"/>
      <c r="Q90" s="973"/>
      <c r="R90" s="973"/>
      <c r="S90" s="973"/>
      <c r="T90" s="973"/>
      <c r="U90" s="974"/>
      <c r="V90" s="932"/>
      <c r="W90" s="932"/>
      <c r="X90" s="933"/>
      <c r="Y90" s="330"/>
      <c r="AA90" s="324"/>
      <c r="AB90" s="324"/>
      <c r="AC90" s="324"/>
      <c r="AD90" s="324"/>
      <c r="AE90" s="324"/>
      <c r="AF90" s="324"/>
      <c r="AG90" s="324"/>
      <c r="AH90" s="324"/>
    </row>
    <row r="91" spans="1:34" s="323" customFormat="1" ht="18" customHeight="1">
      <c r="A91" s="324"/>
      <c r="B91" s="1081"/>
      <c r="C91" s="972"/>
      <c r="D91" s="1017"/>
      <c r="E91" s="1017"/>
      <c r="F91" s="1017"/>
      <c r="G91" s="1018"/>
      <c r="H91" s="972"/>
      <c r="I91" s="973"/>
      <c r="J91" s="973"/>
      <c r="K91" s="973"/>
      <c r="L91" s="973"/>
      <c r="M91" s="973"/>
      <c r="N91" s="973"/>
      <c r="O91" s="973"/>
      <c r="P91" s="973"/>
      <c r="Q91" s="973"/>
      <c r="R91" s="973"/>
      <c r="S91" s="973"/>
      <c r="T91" s="973"/>
      <c r="U91" s="974"/>
      <c r="V91" s="932"/>
      <c r="W91" s="932"/>
      <c r="X91" s="933"/>
      <c r="Y91" s="330"/>
      <c r="AA91" s="324"/>
      <c r="AB91" s="324"/>
      <c r="AC91" s="324"/>
      <c r="AD91" s="324"/>
      <c r="AE91" s="324"/>
      <c r="AF91" s="324"/>
      <c r="AG91" s="324"/>
      <c r="AH91" s="324"/>
    </row>
    <row r="92" spans="1:34" s="323" customFormat="1" ht="18" customHeight="1">
      <c r="A92" s="324"/>
      <c r="B92" s="1081"/>
      <c r="C92" s="949"/>
      <c r="D92" s="950"/>
      <c r="E92" s="950"/>
      <c r="F92" s="950"/>
      <c r="G92" s="951"/>
      <c r="H92" s="346" t="s">
        <v>778</v>
      </c>
      <c r="I92" s="349">
        <v>15</v>
      </c>
      <c r="J92" s="352" t="s">
        <v>764</v>
      </c>
      <c r="K92" s="350">
        <v>12</v>
      </c>
      <c r="L92" s="352" t="s">
        <v>764</v>
      </c>
      <c r="M92" s="350">
        <v>30</v>
      </c>
      <c r="N92" s="352" t="s">
        <v>779</v>
      </c>
      <c r="O92" s="338" t="s">
        <v>767</v>
      </c>
      <c r="P92" s="352" t="s">
        <v>778</v>
      </c>
      <c r="Q92" s="944">
        <v>0.08</v>
      </c>
      <c r="R92" s="944"/>
      <c r="S92" s="352" t="s">
        <v>779</v>
      </c>
      <c r="T92" s="356"/>
      <c r="U92" s="357"/>
      <c r="V92" s="934"/>
      <c r="W92" s="934"/>
      <c r="X92" s="935"/>
      <c r="Y92" s="330"/>
      <c r="AA92" s="324"/>
      <c r="AB92" s="324"/>
      <c r="AC92" s="324"/>
      <c r="AD92" s="324"/>
      <c r="AE92" s="324"/>
      <c r="AF92" s="324"/>
      <c r="AG92" s="324"/>
      <c r="AH92" s="324"/>
    </row>
    <row r="93" spans="1:34" s="323" customFormat="1" ht="69.75" customHeight="1">
      <c r="A93" s="324"/>
      <c r="B93" s="389"/>
      <c r="C93" s="988" t="s">
        <v>798</v>
      </c>
      <c r="D93" s="989"/>
      <c r="E93" s="989"/>
      <c r="F93" s="989"/>
      <c r="G93" s="989"/>
      <c r="H93" s="989"/>
      <c r="I93" s="989"/>
      <c r="J93" s="989"/>
      <c r="K93" s="989"/>
      <c r="L93" s="989"/>
      <c r="M93" s="989"/>
      <c r="N93" s="989"/>
      <c r="O93" s="989"/>
      <c r="P93" s="989"/>
      <c r="Q93" s="989"/>
      <c r="R93" s="989"/>
      <c r="S93" s="989"/>
      <c r="T93" s="989"/>
      <c r="U93" s="989"/>
      <c r="V93" s="989"/>
      <c r="W93" s="989"/>
      <c r="X93" s="990"/>
      <c r="Y93" s="330"/>
      <c r="AA93" s="324"/>
      <c r="AB93" s="324"/>
      <c r="AC93" s="324"/>
      <c r="AD93" s="324"/>
      <c r="AE93" s="324"/>
      <c r="AF93" s="324"/>
      <c r="AG93" s="324"/>
      <c r="AH93" s="324"/>
    </row>
    <row r="94" spans="1:34" s="323" customFormat="1" ht="18" customHeight="1">
      <c r="A94" s="324"/>
      <c r="B94" s="389"/>
      <c r="C94" s="339" t="s">
        <v>799</v>
      </c>
      <c r="D94" s="335"/>
      <c r="E94" s="335"/>
      <c r="F94" s="335"/>
      <c r="G94" s="335"/>
      <c r="H94" s="335"/>
      <c r="I94" s="335"/>
      <c r="J94" s="335"/>
      <c r="K94" s="335"/>
      <c r="L94" s="335"/>
      <c r="M94" s="335"/>
      <c r="N94" s="335"/>
      <c r="O94" s="338"/>
      <c r="P94" s="335"/>
      <c r="Q94" s="395"/>
      <c r="R94" s="361"/>
      <c r="S94" s="361"/>
      <c r="T94" s="396"/>
      <c r="U94" s="397"/>
      <c r="V94" s="1044">
        <f>V80+V82+V88</f>
        <v>0.10212499999999999</v>
      </c>
      <c r="W94" s="1045"/>
      <c r="X94" s="1046"/>
      <c r="Y94" s="330"/>
      <c r="AA94" s="324"/>
      <c r="AB94" s="324"/>
      <c r="AC94" s="324"/>
      <c r="AD94" s="324"/>
      <c r="AE94" s="324"/>
      <c r="AF94" s="324"/>
      <c r="AG94" s="324"/>
      <c r="AH94" s="324"/>
    </row>
    <row r="95" spans="1:34" s="323" customFormat="1" ht="19.5" customHeight="1">
      <c r="A95" s="324"/>
      <c r="B95" s="342" t="s">
        <v>755</v>
      </c>
      <c r="C95" s="339" t="s">
        <v>800</v>
      </c>
      <c r="D95" s="335"/>
      <c r="E95" s="335"/>
      <c r="F95" s="335"/>
      <c r="G95" s="335"/>
      <c r="H95" s="335"/>
      <c r="I95" s="335"/>
      <c r="J95" s="335"/>
      <c r="K95" s="335"/>
      <c r="L95" s="335"/>
      <c r="M95" s="335"/>
      <c r="N95" s="335"/>
      <c r="O95" s="338"/>
      <c r="P95" s="335"/>
      <c r="Q95" s="395"/>
      <c r="R95" s="361"/>
      <c r="S95" s="361"/>
      <c r="T95" s="396"/>
      <c r="U95" s="397"/>
      <c r="V95" s="363"/>
      <c r="W95" s="364"/>
      <c r="X95" s="365"/>
      <c r="Y95" s="330"/>
      <c r="AA95" s="324"/>
      <c r="AB95" s="324"/>
      <c r="AC95" s="324"/>
      <c r="AD95" s="324"/>
      <c r="AE95" s="324"/>
      <c r="AF95" s="324"/>
      <c r="AG95" s="324"/>
      <c r="AH95" s="324"/>
    </row>
    <row r="96" spans="1:34" s="323" customFormat="1" ht="18.75" customHeight="1">
      <c r="A96" s="324"/>
      <c r="C96" s="339"/>
      <c r="D96" s="335"/>
      <c r="E96" s="335"/>
      <c r="F96" s="335"/>
      <c r="G96" s="335"/>
      <c r="H96" s="335" t="s">
        <v>778</v>
      </c>
      <c r="I96" s="393">
        <f>V25</f>
        <v>0.15555555555555556</v>
      </c>
      <c r="J96" s="394" t="s">
        <v>781</v>
      </c>
      <c r="K96" s="393">
        <f>V32</f>
        <v>1.0133333333333333E-3</v>
      </c>
      <c r="L96" s="394" t="s">
        <v>781</v>
      </c>
      <c r="M96" s="393">
        <f>V54</f>
        <v>3.6665833333333335E-2</v>
      </c>
      <c r="N96" s="335" t="s">
        <v>779</v>
      </c>
      <c r="O96" s="352" t="s">
        <v>767</v>
      </c>
      <c r="P96" s="335" t="s">
        <v>778</v>
      </c>
      <c r="Q96" s="923">
        <f>V94</f>
        <v>0.10212499999999999</v>
      </c>
      <c r="R96" s="923"/>
      <c r="S96" s="361" t="s">
        <v>779</v>
      </c>
      <c r="T96" s="396"/>
      <c r="U96" s="366"/>
      <c r="V96" s="1047">
        <f>(I96+K96+M96)*(Q96)</f>
        <v>1.9734096006944445E-2</v>
      </c>
      <c r="W96" s="927"/>
      <c r="X96" s="1048"/>
      <c r="Y96" s="330"/>
      <c r="AA96" s="324"/>
      <c r="AB96" s="324"/>
      <c r="AC96" s="324"/>
      <c r="AD96" s="324"/>
      <c r="AE96" s="324"/>
      <c r="AF96" s="324"/>
      <c r="AG96" s="324"/>
      <c r="AH96" s="324"/>
    </row>
    <row r="97" spans="1:34" s="323" customFormat="1" ht="21" customHeight="1">
      <c r="A97" s="324"/>
      <c r="C97" s="1049" t="s">
        <v>788</v>
      </c>
      <c r="D97" s="1050"/>
      <c r="E97" s="1050"/>
      <c r="F97" s="1050"/>
      <c r="G97" s="1050"/>
      <c r="H97" s="1050"/>
      <c r="I97" s="1050"/>
      <c r="J97" s="1050"/>
      <c r="K97" s="1050"/>
      <c r="L97" s="1050"/>
      <c r="M97" s="1050"/>
      <c r="N97" s="1050"/>
      <c r="O97" s="1050"/>
      <c r="P97" s="1050"/>
      <c r="Q97" s="1050"/>
      <c r="R97" s="1050"/>
      <c r="S97" s="1050"/>
      <c r="T97" s="1050"/>
      <c r="U97" s="1051"/>
      <c r="V97" s="1052">
        <f>SUM(V80,V81,V82,V96,V88)</f>
        <v>0.15398242934027781</v>
      </c>
      <c r="W97" s="1053"/>
      <c r="X97" s="1054"/>
      <c r="Y97" s="330"/>
      <c r="AA97" s="324"/>
      <c r="AB97" s="324"/>
      <c r="AC97" s="324"/>
      <c r="AD97" s="324"/>
      <c r="AE97" s="324"/>
      <c r="AF97" s="324"/>
      <c r="AG97" s="324"/>
      <c r="AH97" s="324"/>
    </row>
    <row r="99" spans="1:34" s="323" customFormat="1" ht="21" customHeight="1">
      <c r="A99" s="324"/>
      <c r="C99" s="1055" t="s">
        <v>801</v>
      </c>
      <c r="D99" s="1055"/>
      <c r="E99" s="1055"/>
      <c r="F99" s="1055"/>
      <c r="G99" s="1055"/>
      <c r="H99" s="1056"/>
      <c r="I99" s="1056"/>
      <c r="J99" s="1056"/>
      <c r="K99" s="1056"/>
      <c r="L99" s="1056"/>
      <c r="M99" s="1056"/>
      <c r="N99" s="1056"/>
      <c r="O99" s="1056"/>
      <c r="P99" s="1056"/>
      <c r="Q99" s="1056"/>
      <c r="R99" s="1056"/>
      <c r="S99" s="1056"/>
      <c r="T99" s="1056"/>
      <c r="U99" s="1056"/>
      <c r="V99" s="1056"/>
      <c r="W99" s="1056"/>
      <c r="X99" s="1056"/>
      <c r="Y99" s="330"/>
      <c r="AA99" s="324"/>
      <c r="AB99" s="324"/>
      <c r="AC99" s="324"/>
      <c r="AD99" s="324"/>
      <c r="AE99" s="324"/>
      <c r="AF99" s="324"/>
      <c r="AG99" s="324"/>
      <c r="AH99" s="324"/>
    </row>
    <row r="100" spans="1:34" s="323" customFormat="1" ht="20.25" customHeight="1">
      <c r="A100" s="324"/>
      <c r="C100" s="1057" t="str">
        <f>C13</f>
        <v>Submódulo 2.2 - Encargos Previdenciários, FGTS e outras contribuições:</v>
      </c>
      <c r="D100" s="1057"/>
      <c r="E100" s="1057"/>
      <c r="F100" s="1058"/>
      <c r="G100" s="1058"/>
      <c r="H100" s="1058"/>
      <c r="I100" s="1058"/>
      <c r="J100" s="1058"/>
      <c r="K100" s="1058"/>
      <c r="L100" s="1058"/>
      <c r="M100" s="1058"/>
      <c r="N100" s="1058"/>
      <c r="O100" s="1058"/>
      <c r="P100" s="1058"/>
      <c r="Q100" s="1058"/>
      <c r="R100" s="1058"/>
      <c r="S100" s="1058"/>
      <c r="T100" s="1058"/>
      <c r="U100" s="1058"/>
      <c r="V100" s="1059">
        <f>(V13)</f>
        <v>0.3680000000000001</v>
      </c>
      <c r="W100" s="1060"/>
      <c r="X100" s="1060"/>
      <c r="Y100" s="330"/>
      <c r="AA100" s="324"/>
      <c r="AB100" s="324"/>
      <c r="AC100" s="324"/>
      <c r="AD100" s="324"/>
      <c r="AE100" s="324"/>
      <c r="AF100" s="324"/>
      <c r="AG100" s="324"/>
      <c r="AH100" s="324"/>
    </row>
    <row r="101" spans="1:34" s="323" customFormat="1" ht="23.25" customHeight="1">
      <c r="A101" s="324"/>
      <c r="C101" s="1057" t="str">
        <f>C25</f>
        <v>Submódulo 2.3 - 13º Salário e Adiconal de Férias:</v>
      </c>
      <c r="D101" s="1057"/>
      <c r="E101" s="1057"/>
      <c r="F101" s="1058"/>
      <c r="G101" s="1058"/>
      <c r="H101" s="1058"/>
      <c r="I101" s="1058"/>
      <c r="J101" s="1058"/>
      <c r="K101" s="1058"/>
      <c r="L101" s="1058"/>
      <c r="M101" s="1058"/>
      <c r="N101" s="1058"/>
      <c r="O101" s="1058"/>
      <c r="P101" s="1058"/>
      <c r="Q101" s="1058"/>
      <c r="R101" s="1058"/>
      <c r="S101" s="1058"/>
      <c r="T101" s="1058"/>
      <c r="U101" s="1058"/>
      <c r="V101" s="1059">
        <f>(V25)</f>
        <v>0.15555555555555556</v>
      </c>
      <c r="W101" s="1060"/>
      <c r="X101" s="1060"/>
      <c r="Y101" s="330"/>
      <c r="AA101" s="324"/>
      <c r="AB101" s="324"/>
      <c r="AC101" s="324"/>
      <c r="AD101" s="324"/>
      <c r="AE101" s="324"/>
      <c r="AF101" s="324"/>
      <c r="AG101" s="324"/>
      <c r="AH101" s="324"/>
    </row>
    <row r="102" spans="1:34" s="323" customFormat="1" ht="22.5" customHeight="1">
      <c r="A102" s="324"/>
      <c r="C102" s="1057" t="str">
        <f>C32</f>
        <v>Submódulo 2.4 - Afastamento Maternidade:</v>
      </c>
      <c r="D102" s="1057"/>
      <c r="E102" s="1057"/>
      <c r="F102" s="1058"/>
      <c r="G102" s="1058"/>
      <c r="H102" s="1058"/>
      <c r="I102" s="1058"/>
      <c r="J102" s="1058"/>
      <c r="K102" s="1058"/>
      <c r="L102" s="1058"/>
      <c r="M102" s="1058"/>
      <c r="N102" s="1058"/>
      <c r="O102" s="1058"/>
      <c r="P102" s="1058"/>
      <c r="Q102" s="1058"/>
      <c r="R102" s="1058"/>
      <c r="S102" s="1058"/>
      <c r="T102" s="1058"/>
      <c r="U102" s="1058"/>
      <c r="V102" s="1059">
        <f>(V32)</f>
        <v>1.0133333333333333E-3</v>
      </c>
      <c r="W102" s="1060"/>
      <c r="X102" s="1060"/>
      <c r="Y102" s="330"/>
      <c r="AA102" s="324"/>
      <c r="AB102" s="324"/>
      <c r="AC102" s="324"/>
      <c r="AD102" s="324"/>
      <c r="AE102" s="324"/>
      <c r="AF102" s="324"/>
      <c r="AG102" s="324"/>
      <c r="AH102" s="324"/>
    </row>
    <row r="103" spans="1:34" s="323" customFormat="1" ht="24" customHeight="1">
      <c r="A103" s="324"/>
      <c r="C103" s="1057" t="str">
        <f>C54</f>
        <v>Módulo 3 - Provisão para Rescisão</v>
      </c>
      <c r="D103" s="1057"/>
      <c r="E103" s="1057"/>
      <c r="F103" s="1058"/>
      <c r="G103" s="1058"/>
      <c r="H103" s="1058"/>
      <c r="I103" s="1058"/>
      <c r="J103" s="1058"/>
      <c r="K103" s="1058"/>
      <c r="L103" s="1058"/>
      <c r="M103" s="1058"/>
      <c r="N103" s="1058"/>
      <c r="O103" s="1058"/>
      <c r="P103" s="1058"/>
      <c r="Q103" s="1058"/>
      <c r="R103" s="1058"/>
      <c r="S103" s="1058"/>
      <c r="T103" s="1058"/>
      <c r="U103" s="1058"/>
      <c r="V103" s="1059">
        <f>(V54)</f>
        <v>3.6665833333333335E-2</v>
      </c>
      <c r="W103" s="1060"/>
      <c r="X103" s="1060"/>
      <c r="Y103" s="330"/>
      <c r="AA103" s="324"/>
      <c r="AB103" s="324"/>
      <c r="AC103" s="324"/>
      <c r="AD103" s="324"/>
      <c r="AE103" s="324"/>
      <c r="AF103" s="324"/>
      <c r="AG103" s="324"/>
      <c r="AH103" s="324"/>
    </row>
    <row r="104" spans="1:34" s="323" customFormat="1" ht="29.25" customHeight="1">
      <c r="A104" s="324"/>
      <c r="C104" s="1057" t="str">
        <f>C97</f>
        <v>Módulo 4 - Custo de Reposição do Profissional Ausente</v>
      </c>
      <c r="D104" s="1057"/>
      <c r="E104" s="1057"/>
      <c r="F104" s="1058"/>
      <c r="G104" s="1058"/>
      <c r="H104" s="1058"/>
      <c r="I104" s="1058"/>
      <c r="J104" s="1058"/>
      <c r="K104" s="1058"/>
      <c r="L104" s="1058"/>
      <c r="M104" s="1058"/>
      <c r="N104" s="1058"/>
      <c r="O104" s="1058"/>
      <c r="P104" s="1058"/>
      <c r="Q104" s="1058"/>
      <c r="R104" s="1058"/>
      <c r="S104" s="1058"/>
      <c r="T104" s="1058"/>
      <c r="U104" s="1058"/>
      <c r="V104" s="1059">
        <f>V97</f>
        <v>0.15398242934027781</v>
      </c>
      <c r="W104" s="1060"/>
      <c r="X104" s="1060"/>
      <c r="Y104" s="330"/>
      <c r="AA104" s="324"/>
      <c r="AB104" s="324"/>
      <c r="AC104" s="324"/>
      <c r="AD104" s="324"/>
      <c r="AE104" s="324"/>
      <c r="AF104" s="324"/>
      <c r="AG104" s="324"/>
      <c r="AH104" s="324"/>
    </row>
    <row r="105" spans="1:34" s="323" customFormat="1" ht="21" customHeight="1">
      <c r="A105" s="324"/>
      <c r="C105" s="1061" t="s">
        <v>802</v>
      </c>
      <c r="D105" s="1061"/>
      <c r="E105" s="1061"/>
      <c r="F105" s="1062"/>
      <c r="G105" s="1062"/>
      <c r="H105" s="1062"/>
      <c r="I105" s="1062"/>
      <c r="J105" s="1062"/>
      <c r="K105" s="1062"/>
      <c r="L105" s="1062"/>
      <c r="M105" s="1062"/>
      <c r="N105" s="1062"/>
      <c r="O105" s="1062"/>
      <c r="P105" s="1062"/>
      <c r="Q105" s="1062"/>
      <c r="R105" s="1062"/>
      <c r="S105" s="1062"/>
      <c r="T105" s="1062"/>
      <c r="U105" s="1062"/>
      <c r="V105" s="1063">
        <f>SUM(V100:X104)</f>
        <v>0.7152171515625001</v>
      </c>
      <c r="W105" s="1064"/>
      <c r="X105" s="1064"/>
      <c r="Y105" s="330"/>
      <c r="AA105" s="324"/>
      <c r="AB105" s="324"/>
      <c r="AC105" s="324"/>
      <c r="AD105" s="324"/>
      <c r="AE105" s="324"/>
      <c r="AF105" s="324"/>
      <c r="AG105" s="324"/>
      <c r="AH105" s="324"/>
    </row>
    <row r="108" spans="1:34">
      <c r="C108" s="1065" t="s">
        <v>803</v>
      </c>
      <c r="D108" s="1065"/>
      <c r="E108" s="390" t="s">
        <v>804</v>
      </c>
      <c r="F108" s="1066" t="s">
        <v>805</v>
      </c>
      <c r="G108" s="1066"/>
      <c r="H108" s="1067" t="s">
        <v>806</v>
      </c>
      <c r="I108" s="1067"/>
      <c r="J108" s="1067"/>
      <c r="K108" s="1067"/>
      <c r="L108" s="1067"/>
      <c r="M108" s="1067"/>
      <c r="N108" s="1067"/>
      <c r="O108" s="1067"/>
      <c r="P108" s="1067"/>
      <c r="Q108" s="1067"/>
      <c r="R108" s="1067"/>
      <c r="S108" s="1067"/>
      <c r="T108" s="1067"/>
      <c r="U108" s="1067"/>
      <c r="V108" s="1067"/>
      <c r="W108" s="1067"/>
      <c r="X108" s="1067"/>
    </row>
    <row r="109" spans="1:34" ht="18" customHeight="1">
      <c r="C109" s="1068" t="s">
        <v>807</v>
      </c>
      <c r="D109" s="1069"/>
      <c r="E109" s="391">
        <v>0.03</v>
      </c>
      <c r="F109" s="1070">
        <v>515</v>
      </c>
      <c r="G109" s="1071"/>
      <c r="H109" s="1072" t="s">
        <v>808</v>
      </c>
      <c r="I109" s="1073"/>
      <c r="J109" s="1073"/>
      <c r="K109" s="1073"/>
      <c r="L109" s="1073"/>
      <c r="M109" s="1073"/>
      <c r="N109" s="1073"/>
      <c r="O109" s="1073"/>
      <c r="P109" s="1073"/>
      <c r="Q109" s="1073"/>
      <c r="R109" s="1073"/>
      <c r="S109" s="1073"/>
      <c r="T109" s="1073"/>
      <c r="U109" s="1073"/>
      <c r="V109" s="1073"/>
      <c r="W109" s="1073"/>
      <c r="X109" s="1074"/>
      <c r="Y109" s="398"/>
      <c r="Z109" s="327"/>
      <c r="AA109" s="328"/>
      <c r="AB109" s="329"/>
      <c r="AC109" s="329"/>
      <c r="AD109" s="323"/>
      <c r="AE109" s="323"/>
    </row>
    <row r="110" spans="1:34" ht="17.25" customHeight="1">
      <c r="F110" s="1075" t="s">
        <v>809</v>
      </c>
      <c r="G110" s="1076"/>
      <c r="H110" s="1076"/>
      <c r="I110" s="1076"/>
      <c r="J110" s="1076"/>
      <c r="K110" s="1076"/>
      <c r="L110" s="1076"/>
      <c r="M110" s="1076"/>
      <c r="N110" s="1076"/>
      <c r="O110" s="1076"/>
      <c r="P110" s="1076"/>
      <c r="Q110" s="1076"/>
      <c r="R110" s="1076"/>
      <c r="S110" s="1076"/>
      <c r="T110" s="1076"/>
      <c r="U110" s="1076"/>
      <c r="V110" s="1076"/>
      <c r="W110" s="1076"/>
      <c r="X110" s="1077"/>
    </row>
  </sheetData>
  <mergeCells count="165">
    <mergeCell ref="C108:D108"/>
    <mergeCell ref="F108:G108"/>
    <mergeCell ref="H108:X108"/>
    <mergeCell ref="C109:D109"/>
    <mergeCell ref="F109:G109"/>
    <mergeCell ref="H109:X109"/>
    <mergeCell ref="F110:X110"/>
    <mergeCell ref="B10:B11"/>
    <mergeCell ref="B16:B18"/>
    <mergeCell ref="B19:B21"/>
    <mergeCell ref="B29:B30"/>
    <mergeCell ref="B35:B40"/>
    <mergeCell ref="B46:B50"/>
    <mergeCell ref="B51:B53"/>
    <mergeCell ref="B57:B60"/>
    <mergeCell ref="B61:B67"/>
    <mergeCell ref="B68:B72"/>
    <mergeCell ref="B73:B79"/>
    <mergeCell ref="B82:B87"/>
    <mergeCell ref="B88:B92"/>
    <mergeCell ref="V10:X11"/>
    <mergeCell ref="C16:G18"/>
    <mergeCell ref="V16:X18"/>
    <mergeCell ref="C19:G21"/>
    <mergeCell ref="C101:U101"/>
    <mergeCell ref="V101:X101"/>
    <mergeCell ref="C102:U102"/>
    <mergeCell ref="V102:X102"/>
    <mergeCell ref="C103:U103"/>
    <mergeCell ref="V103:X103"/>
    <mergeCell ref="C104:U104"/>
    <mergeCell ref="V104:X104"/>
    <mergeCell ref="C105:U105"/>
    <mergeCell ref="V105:X105"/>
    <mergeCell ref="C93:X93"/>
    <mergeCell ref="V94:X94"/>
    <mergeCell ref="Q96:R96"/>
    <mergeCell ref="V96:X96"/>
    <mergeCell ref="C97:U97"/>
    <mergeCell ref="V97:X97"/>
    <mergeCell ref="C99:X99"/>
    <mergeCell ref="C100:U100"/>
    <mergeCell ref="V100:X100"/>
    <mergeCell ref="Q67:R67"/>
    <mergeCell ref="Q79:R79"/>
    <mergeCell ref="C80:U80"/>
    <mergeCell ref="V80:X80"/>
    <mergeCell ref="C81:P81"/>
    <mergeCell ref="Q81:R81"/>
    <mergeCell ref="T81:U81"/>
    <mergeCell ref="V81:X81"/>
    <mergeCell ref="Q92:R92"/>
    <mergeCell ref="C88:G92"/>
    <mergeCell ref="H88:U91"/>
    <mergeCell ref="V88:X92"/>
    <mergeCell ref="C61:G67"/>
    <mergeCell ref="H61:U66"/>
    <mergeCell ref="V61:X67"/>
    <mergeCell ref="C68:G72"/>
    <mergeCell ref="H68:U71"/>
    <mergeCell ref="V68:X72"/>
    <mergeCell ref="C73:G79"/>
    <mergeCell ref="H73:U78"/>
    <mergeCell ref="V73:X79"/>
    <mergeCell ref="C82:G87"/>
    <mergeCell ref="H82:U86"/>
    <mergeCell ref="V82:X87"/>
    <mergeCell ref="H50:I50"/>
    <mergeCell ref="K50:L50"/>
    <mergeCell ref="H53:I53"/>
    <mergeCell ref="K53:L53"/>
    <mergeCell ref="N53:O53"/>
    <mergeCell ref="C54:U54"/>
    <mergeCell ref="V54:X54"/>
    <mergeCell ref="C56:X56"/>
    <mergeCell ref="H60:I60"/>
    <mergeCell ref="K60:L60"/>
    <mergeCell ref="M60:N60"/>
    <mergeCell ref="Q60:R60"/>
    <mergeCell ref="C51:G53"/>
    <mergeCell ref="H51:U52"/>
    <mergeCell ref="V51:X53"/>
    <mergeCell ref="C46:G50"/>
    <mergeCell ref="H46:U49"/>
    <mergeCell ref="V46:X50"/>
    <mergeCell ref="C57:G60"/>
    <mergeCell ref="H57:U59"/>
    <mergeCell ref="V57:X60"/>
    <mergeCell ref="C42:U42"/>
    <mergeCell ref="V42:X42"/>
    <mergeCell ref="C43:X43"/>
    <mergeCell ref="Q44:R44"/>
    <mergeCell ref="T44:U44"/>
    <mergeCell ref="V44:X44"/>
    <mergeCell ref="C45:G45"/>
    <mergeCell ref="K45:L45"/>
    <mergeCell ref="N45:O45"/>
    <mergeCell ref="V45:X45"/>
    <mergeCell ref="C31:P31"/>
    <mergeCell ref="V31:X31"/>
    <mergeCell ref="C32:U32"/>
    <mergeCell ref="V32:X32"/>
    <mergeCell ref="C34:X34"/>
    <mergeCell ref="M40:N40"/>
    <mergeCell ref="C41:G41"/>
    <mergeCell ref="H41:I41"/>
    <mergeCell ref="K41:L41"/>
    <mergeCell ref="M41:N41"/>
    <mergeCell ref="O41:P41"/>
    <mergeCell ref="V41:X41"/>
    <mergeCell ref="V35:X40"/>
    <mergeCell ref="C35:G40"/>
    <mergeCell ref="H35:U39"/>
    <mergeCell ref="V24:X24"/>
    <mergeCell ref="C25:U25"/>
    <mergeCell ref="V25:X25"/>
    <mergeCell ref="C27:X27"/>
    <mergeCell ref="C28:X28"/>
    <mergeCell ref="H29:U29"/>
    <mergeCell ref="H30:I30"/>
    <mergeCell ref="K30:L30"/>
    <mergeCell ref="N30:O30"/>
    <mergeCell ref="Q30:R30"/>
    <mergeCell ref="C29:G30"/>
    <mergeCell ref="V29:X30"/>
    <mergeCell ref="H19:U19"/>
    <mergeCell ref="H21:I21"/>
    <mergeCell ref="K21:L21"/>
    <mergeCell ref="N21:O21"/>
    <mergeCell ref="C22:U22"/>
    <mergeCell ref="V22:X22"/>
    <mergeCell ref="C23:P23"/>
    <mergeCell ref="Q23:R23"/>
    <mergeCell ref="T23:U23"/>
    <mergeCell ref="V23:X23"/>
    <mergeCell ref="V19:X21"/>
    <mergeCell ref="C12:U12"/>
    <mergeCell ref="V12:X12"/>
    <mergeCell ref="C13:U13"/>
    <mergeCell ref="V13:X13"/>
    <mergeCell ref="C14:X14"/>
    <mergeCell ref="C15:X15"/>
    <mergeCell ref="H16:U16"/>
    <mergeCell ref="H18:N18"/>
    <mergeCell ref="P18:U18"/>
    <mergeCell ref="C7:U7"/>
    <mergeCell ref="V7:X7"/>
    <mergeCell ref="C8:U8"/>
    <mergeCell ref="V8:X8"/>
    <mergeCell ref="C9:U9"/>
    <mergeCell ref="V9:X9"/>
    <mergeCell ref="C10:U10"/>
    <mergeCell ref="D11:E11"/>
    <mergeCell ref="F11:H11"/>
    <mergeCell ref="K11:M11"/>
    <mergeCell ref="N11:P11"/>
    <mergeCell ref="C2:X2"/>
    <mergeCell ref="C3:U3"/>
    <mergeCell ref="V3:X3"/>
    <mergeCell ref="C4:U4"/>
    <mergeCell ref="V4:X4"/>
    <mergeCell ref="C5:U5"/>
    <mergeCell ref="V5:X5"/>
    <mergeCell ref="C6:U6"/>
    <mergeCell ref="V6:X6"/>
  </mergeCells>
  <printOptions horizontalCentered="1" verticalCentered="1"/>
  <pageMargins left="0.78740157480314998" right="0.78740157480314998" top="0.98425196850393704" bottom="0.98425196850393704" header="0.511811023622047" footer="0.511811023622047"/>
  <pageSetup paperSize="9" scale="65" orientation="portrait" horizontalDpi="300" verticalDpi="300"/>
  <headerFooter alignWithMargins="0"/>
  <rowBreaks count="1" manualBreakCount="1">
    <brk id="55" max="22" man="1"/>
  </rowBreaks>
  <colBreaks count="1" manualBreakCount="1">
    <brk id="23" max="108"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K87"/>
  <sheetViews>
    <sheetView showGridLines="0" topLeftCell="A59" zoomScale="60" zoomScaleNormal="60" workbookViewId="0">
      <selection activeCell="I18" sqref="I18"/>
    </sheetView>
  </sheetViews>
  <sheetFormatPr defaultColWidth="9.140625" defaultRowHeight="25.5"/>
  <cols>
    <col min="1" max="1" width="4.85546875" style="635" customWidth="1"/>
    <col min="2" max="2" width="11" style="749" customWidth="1"/>
    <col min="3" max="3" width="131.7109375" style="750" customWidth="1"/>
    <col min="4" max="4" width="28" style="751" customWidth="1"/>
    <col min="5" max="5" width="24.5703125" style="752" customWidth="1"/>
    <col min="6" max="6" width="6.140625" style="634" customWidth="1"/>
    <col min="7" max="7" width="9.140625" style="635"/>
    <col min="8" max="8" width="21.28515625" style="635" customWidth="1"/>
    <col min="9" max="10" width="9.140625" style="635"/>
    <col min="11" max="11" width="14.7109375" style="737" bestFit="1" customWidth="1"/>
    <col min="12" max="16384" width="9.140625" style="635"/>
  </cols>
  <sheetData>
    <row r="2" spans="2:6" ht="33.75" customHeight="1">
      <c r="B2" s="1095" t="str">
        <f>CONCATENATE("Planilha do Custo Direto da Mão de Obra - ", Áreas_edf_e_Descrição_postos!C16)</f>
        <v>Planilha do Custo Direto da Mão de Obra - Supervisor</v>
      </c>
      <c r="C2" s="1096"/>
      <c r="D2" s="1096"/>
      <c r="E2" s="1097"/>
    </row>
    <row r="3" spans="2:6" ht="33.75" customHeight="1">
      <c r="B3" s="1098" t="s">
        <v>1318</v>
      </c>
      <c r="C3" s="1098"/>
      <c r="D3" s="1098"/>
      <c r="E3" s="1098"/>
      <c r="F3" s="636"/>
    </row>
    <row r="4" spans="2:6" ht="35.25" customHeight="1">
      <c r="B4" s="637" t="s">
        <v>810</v>
      </c>
      <c r="C4" s="637" t="s">
        <v>811</v>
      </c>
      <c r="D4" s="638" t="s">
        <v>812</v>
      </c>
      <c r="E4" s="639" t="s">
        <v>813</v>
      </c>
      <c r="F4" s="636"/>
    </row>
    <row r="5" spans="2:6" ht="31.5" customHeight="1">
      <c r="B5" s="640">
        <v>1</v>
      </c>
      <c r="C5" s="641" t="s">
        <v>814</v>
      </c>
      <c r="D5" s="642"/>
      <c r="E5" s="643"/>
      <c r="F5" s="636"/>
    </row>
    <row r="6" spans="2:6" ht="30.75" customHeight="1">
      <c r="B6" s="754" t="s">
        <v>739</v>
      </c>
      <c r="C6" s="755" t="s">
        <v>815</v>
      </c>
      <c r="D6" s="756"/>
      <c r="E6" s="757">
        <f>Áreas_edf_e_Descrição_postos!F16</f>
        <v>3508.37</v>
      </c>
      <c r="F6" s="636"/>
    </row>
    <row r="7" spans="2:6" ht="27" customHeight="1">
      <c r="B7" s="644" t="s">
        <v>741</v>
      </c>
      <c r="C7" s="645" t="s">
        <v>816</v>
      </c>
      <c r="D7" s="646"/>
      <c r="E7" s="647"/>
      <c r="F7" s="636"/>
    </row>
    <row r="8" spans="2:6" ht="27" customHeight="1">
      <c r="B8" s="644"/>
      <c r="C8" s="648" t="s">
        <v>817</v>
      </c>
      <c r="D8" s="649"/>
      <c r="E8" s="647"/>
      <c r="F8" s="636"/>
    </row>
    <row r="9" spans="2:6" ht="27.75" customHeight="1">
      <c r="B9" s="644" t="s">
        <v>743</v>
      </c>
      <c r="C9" s="645" t="s">
        <v>818</v>
      </c>
      <c r="D9" s="650"/>
      <c r="E9" s="651"/>
      <c r="F9" s="636"/>
    </row>
    <row r="10" spans="2:6" ht="29.25" customHeight="1">
      <c r="B10" s="644" t="s">
        <v>745</v>
      </c>
      <c r="C10" s="645" t="s">
        <v>819</v>
      </c>
      <c r="D10" s="646"/>
      <c r="E10" s="647"/>
      <c r="F10" s="636"/>
    </row>
    <row r="11" spans="2:6" ht="29.25" customHeight="1">
      <c r="B11" s="644" t="s">
        <v>747</v>
      </c>
      <c r="C11" s="645" t="s">
        <v>820</v>
      </c>
      <c r="D11" s="646"/>
      <c r="E11" s="647"/>
      <c r="F11" s="636"/>
    </row>
    <row r="12" spans="2:6" ht="30.75" customHeight="1">
      <c r="B12" s="644" t="s">
        <v>749</v>
      </c>
      <c r="C12" s="645" t="s">
        <v>821</v>
      </c>
      <c r="D12" s="646"/>
      <c r="E12" s="647"/>
      <c r="F12" s="636"/>
    </row>
    <row r="13" spans="2:6" ht="33" customHeight="1">
      <c r="B13" s="1099" t="s">
        <v>822</v>
      </c>
      <c r="C13" s="1100"/>
      <c r="D13" s="652"/>
      <c r="E13" s="653">
        <f>SUM(E6:E12)</f>
        <v>3508.37</v>
      </c>
      <c r="F13" s="636"/>
    </row>
    <row r="14" spans="2:6" ht="33" customHeight="1">
      <c r="B14" s="654"/>
      <c r="C14" s="655" t="s">
        <v>823</v>
      </c>
      <c r="D14" s="646"/>
      <c r="E14" s="647"/>
      <c r="F14" s="636"/>
    </row>
    <row r="15" spans="2:6" ht="31.5" customHeight="1">
      <c r="B15" s="654" t="s">
        <v>751</v>
      </c>
      <c r="C15" s="656" t="s">
        <v>824</v>
      </c>
      <c r="D15" s="646"/>
      <c r="E15" s="657"/>
      <c r="F15" s="636"/>
    </row>
    <row r="16" spans="2:6" ht="31.5" customHeight="1">
      <c r="B16" s="654" t="s">
        <v>755</v>
      </c>
      <c r="C16" s="658" t="s">
        <v>825</v>
      </c>
      <c r="D16" s="646"/>
      <c r="E16" s="657"/>
      <c r="F16" s="636"/>
    </row>
    <row r="17" spans="2:8" ht="33.75" customHeight="1">
      <c r="B17" s="640">
        <v>1</v>
      </c>
      <c r="C17" s="659" t="s">
        <v>826</v>
      </c>
      <c r="D17" s="660"/>
      <c r="E17" s="661">
        <f>E13+E15</f>
        <v>3508.37</v>
      </c>
      <c r="F17" s="636"/>
    </row>
    <row r="18" spans="2:8" ht="33.75" customHeight="1">
      <c r="B18" s="640">
        <v>2</v>
      </c>
      <c r="C18" s="641" t="s">
        <v>827</v>
      </c>
      <c r="D18" s="642"/>
      <c r="E18" s="643"/>
      <c r="F18" s="636"/>
    </row>
    <row r="19" spans="2:8" ht="33.75" customHeight="1">
      <c r="B19" s="652"/>
      <c r="C19" s="662" t="s">
        <v>828</v>
      </c>
      <c r="D19" s="663"/>
      <c r="E19" s="664"/>
      <c r="F19" s="636"/>
    </row>
    <row r="20" spans="2:8" ht="33.75" customHeight="1">
      <c r="B20" s="665" t="s">
        <v>739</v>
      </c>
      <c r="C20" s="666" t="s">
        <v>829</v>
      </c>
      <c r="D20" s="667"/>
      <c r="E20" s="668">
        <f>'Escalas, VT e VA'!J19</f>
        <v>521.40000000000009</v>
      </c>
      <c r="F20" s="636"/>
    </row>
    <row r="21" spans="2:8" ht="33.75" customHeight="1">
      <c r="B21" s="665" t="s">
        <v>741</v>
      </c>
      <c r="C21" s="666" t="s">
        <v>830</v>
      </c>
      <c r="D21" s="667"/>
      <c r="E21" s="669">
        <f>ROUND(IF(ABS(-0.06*E6)&gt;E20,-1*E20,-6/100*E6),2)</f>
        <v>-210.5</v>
      </c>
      <c r="F21" s="636"/>
      <c r="H21" s="670"/>
    </row>
    <row r="22" spans="2:8" ht="33.75" customHeight="1">
      <c r="B22" s="665" t="s">
        <v>743</v>
      </c>
      <c r="C22" s="666" t="s">
        <v>707</v>
      </c>
      <c r="D22" s="667"/>
      <c r="E22" s="668">
        <f>'Escalas, VT e VA'!H29</f>
        <v>928.4</v>
      </c>
      <c r="F22" s="636"/>
    </row>
    <row r="23" spans="2:8" ht="33.75" customHeight="1">
      <c r="B23" s="665" t="s">
        <v>745</v>
      </c>
      <c r="C23" s="211" t="s">
        <v>831</v>
      </c>
      <c r="D23" s="667"/>
      <c r="E23" s="668">
        <v>187.18</v>
      </c>
      <c r="F23" s="636"/>
    </row>
    <row r="24" spans="2:8" ht="33.75" customHeight="1">
      <c r="B24" s="665" t="s">
        <v>747</v>
      </c>
      <c r="C24" s="211" t="s">
        <v>832</v>
      </c>
      <c r="D24" s="667"/>
      <c r="E24" s="668">
        <v>3.3</v>
      </c>
      <c r="F24" s="636"/>
    </row>
    <row r="25" spans="2:8" ht="33.75" customHeight="1">
      <c r="B25" s="665" t="s">
        <v>749</v>
      </c>
      <c r="C25" s="211" t="s">
        <v>833</v>
      </c>
      <c r="D25" s="667"/>
      <c r="E25" s="671">
        <v>12.81</v>
      </c>
      <c r="F25" s="636"/>
    </row>
    <row r="26" spans="2:8" ht="33.75" customHeight="1">
      <c r="B26" s="665" t="s">
        <v>751</v>
      </c>
      <c r="C26" s="211" t="s">
        <v>834</v>
      </c>
      <c r="D26" s="667"/>
      <c r="E26" s="671">
        <f>14/12*0.5</f>
        <v>0.58333333333333337</v>
      </c>
      <c r="F26" s="636"/>
    </row>
    <row r="27" spans="2:8" ht="33.75" customHeight="1">
      <c r="B27" s="672"/>
      <c r="C27" s="673" t="s">
        <v>835</v>
      </c>
      <c r="D27" s="674"/>
      <c r="E27" s="675">
        <f>SUM(E20:E26)</f>
        <v>1443.1733333333334</v>
      </c>
      <c r="F27" s="636"/>
    </row>
    <row r="28" spans="2:8" ht="33.75" customHeight="1">
      <c r="B28" s="676"/>
      <c r="C28" s="662" t="s">
        <v>836</v>
      </c>
      <c r="D28" s="677"/>
      <c r="E28" s="678"/>
      <c r="F28" s="636"/>
    </row>
    <row r="29" spans="2:8" ht="33.75" customHeight="1">
      <c r="B29" s="679" t="s">
        <v>739</v>
      </c>
      <c r="C29" s="680" t="s">
        <v>837</v>
      </c>
      <c r="D29" s="667">
        <v>0.2</v>
      </c>
      <c r="E29" s="668">
        <f>D29*$E$13</f>
        <v>701.67399999999998</v>
      </c>
      <c r="F29" s="636"/>
    </row>
    <row r="30" spans="2:8" ht="51.75" customHeight="1">
      <c r="B30" s="679" t="s">
        <v>741</v>
      </c>
      <c r="C30" s="680" t="s">
        <v>838</v>
      </c>
      <c r="D30" s="681">
        <v>1.4999999999999999E-2</v>
      </c>
      <c r="E30" s="668">
        <f t="shared" ref="E30:E36" si="0">D30*$E$13</f>
        <v>52.625549999999997</v>
      </c>
      <c r="F30" s="636"/>
    </row>
    <row r="31" spans="2:8" ht="51" customHeight="1">
      <c r="B31" s="679" t="s">
        <v>743</v>
      </c>
      <c r="C31" s="682" t="s">
        <v>1319</v>
      </c>
      <c r="D31" s="681">
        <v>0.01</v>
      </c>
      <c r="E31" s="668">
        <f t="shared" si="0"/>
        <v>35.0837</v>
      </c>
      <c r="F31" s="636"/>
    </row>
    <row r="32" spans="2:8" ht="33.75" customHeight="1">
      <c r="B32" s="679" t="s">
        <v>745</v>
      </c>
      <c r="C32" s="680" t="s">
        <v>839</v>
      </c>
      <c r="D32" s="681">
        <v>2E-3</v>
      </c>
      <c r="E32" s="668">
        <f t="shared" si="0"/>
        <v>7.0167399999999995</v>
      </c>
      <c r="F32" s="636"/>
    </row>
    <row r="33" spans="2:6" ht="33.75" customHeight="1">
      <c r="B33" s="679" t="s">
        <v>747</v>
      </c>
      <c r="C33" s="680" t="s">
        <v>840</v>
      </c>
      <c r="D33" s="681">
        <v>2.5000000000000001E-2</v>
      </c>
      <c r="E33" s="668">
        <f t="shared" si="0"/>
        <v>87.709249999999997</v>
      </c>
      <c r="F33" s="636"/>
    </row>
    <row r="34" spans="2:6" ht="33.75" customHeight="1">
      <c r="B34" s="683" t="s">
        <v>749</v>
      </c>
      <c r="C34" s="684" t="s">
        <v>841</v>
      </c>
      <c r="D34" s="685">
        <v>0.08</v>
      </c>
      <c r="E34" s="668">
        <f t="shared" si="0"/>
        <v>280.6696</v>
      </c>
      <c r="F34" s="636"/>
    </row>
    <row r="35" spans="2:6" ht="33.75" customHeight="1">
      <c r="B35" s="679" t="s">
        <v>751</v>
      </c>
      <c r="C35" s="680" t="s">
        <v>842</v>
      </c>
      <c r="D35" s="681">
        <f>3%*1</f>
        <v>0.03</v>
      </c>
      <c r="E35" s="668">
        <f t="shared" si="0"/>
        <v>105.25109999999999</v>
      </c>
      <c r="F35" s="636"/>
    </row>
    <row r="36" spans="2:6" ht="33.75" customHeight="1">
      <c r="B36" s="679" t="s">
        <v>755</v>
      </c>
      <c r="C36" s="680" t="s">
        <v>843</v>
      </c>
      <c r="D36" s="685">
        <v>6.0000000000000001E-3</v>
      </c>
      <c r="E36" s="668">
        <f t="shared" si="0"/>
        <v>21.050219999999999</v>
      </c>
      <c r="F36" s="636"/>
    </row>
    <row r="37" spans="2:6" ht="33.75" customHeight="1">
      <c r="B37" s="686"/>
      <c r="C37" s="673" t="s">
        <v>844</v>
      </c>
      <c r="D37" s="674">
        <f>SUM(D29:D36)</f>
        <v>0.3680000000000001</v>
      </c>
      <c r="E37" s="675">
        <f>SUM(E29:E36)</f>
        <v>1291.08016</v>
      </c>
      <c r="F37" s="636"/>
    </row>
    <row r="38" spans="2:6" ht="33.75" customHeight="1">
      <c r="B38" s="676"/>
      <c r="C38" s="662" t="s">
        <v>845</v>
      </c>
      <c r="D38" s="677"/>
      <c r="E38" s="687"/>
      <c r="F38" s="636"/>
    </row>
    <row r="39" spans="2:6" ht="33.75" customHeight="1">
      <c r="B39" s="644" t="s">
        <v>739</v>
      </c>
      <c r="C39" s="688" t="s">
        <v>759</v>
      </c>
      <c r="D39" s="646">
        <f>1/12</f>
        <v>8.3333333333333329E-2</v>
      </c>
      <c r="E39" s="647">
        <f>D39*$E$13</f>
        <v>292.36416666666662</v>
      </c>
      <c r="F39" s="636"/>
    </row>
    <row r="40" spans="2:6" ht="33.75" customHeight="1" thickBot="1">
      <c r="B40" s="689" t="s">
        <v>741</v>
      </c>
      <c r="C40" s="690" t="s">
        <v>762</v>
      </c>
      <c r="D40" s="691">
        <f>1/3*1/12</f>
        <v>2.7777777777777776E-2</v>
      </c>
      <c r="E40" s="647">
        <f>D40*$E$13</f>
        <v>97.454722222222216</v>
      </c>
      <c r="F40" s="636"/>
    </row>
    <row r="41" spans="2:6" ht="33.75" customHeight="1" thickBot="1">
      <c r="B41" s="692" t="s">
        <v>743</v>
      </c>
      <c r="C41" s="693" t="s">
        <v>846</v>
      </c>
      <c r="D41" s="694">
        <f>D37*(D39+D40)</f>
        <v>4.0888888888888898E-2</v>
      </c>
      <c r="E41" s="695">
        <f>D41*E13</f>
        <v>143.45335111111115</v>
      </c>
      <c r="F41" s="636"/>
    </row>
    <row r="42" spans="2:6" ht="33.75" customHeight="1">
      <c r="B42" s="212" t="s">
        <v>745</v>
      </c>
      <c r="C42" s="213" t="s">
        <v>768</v>
      </c>
      <c r="D42" s="214">
        <f>8/100*40/100*(D39+D40)</f>
        <v>3.5555555555555553E-3</v>
      </c>
      <c r="E42" s="696">
        <f>D42*E13</f>
        <v>12.474204444444442</v>
      </c>
      <c r="F42" s="636"/>
    </row>
    <row r="43" spans="2:6" ht="31.5" customHeight="1">
      <c r="B43" s="686"/>
      <c r="C43" s="673" t="s">
        <v>847</v>
      </c>
      <c r="D43" s="674">
        <f>SUM(D39:D42)</f>
        <v>0.15555555555555556</v>
      </c>
      <c r="E43" s="675">
        <f>SUM(E39:E42)</f>
        <v>545.74644444444448</v>
      </c>
      <c r="F43" s="636"/>
    </row>
    <row r="44" spans="2:6" ht="33.75" customHeight="1">
      <c r="B44" s="686"/>
      <c r="C44" s="672" t="s">
        <v>848</v>
      </c>
      <c r="D44" s="677"/>
      <c r="E44" s="678"/>
      <c r="F44" s="636"/>
    </row>
    <row r="45" spans="2:6" ht="33.75" customHeight="1" thickBot="1">
      <c r="B45" s="697" t="s">
        <v>739</v>
      </c>
      <c r="C45" s="698" t="s">
        <v>849</v>
      </c>
      <c r="D45" s="699">
        <f>(1+1/3)/12*2/100*4/12</f>
        <v>7.407407407407407E-4</v>
      </c>
      <c r="E45" s="700">
        <f>D45*E13</f>
        <v>2.5987925925925923</v>
      </c>
      <c r="F45" s="636"/>
    </row>
    <row r="46" spans="2:6" ht="33" customHeight="1" thickBot="1">
      <c r="B46" s="701" t="s">
        <v>741</v>
      </c>
      <c r="C46" s="702" t="s">
        <v>850</v>
      </c>
      <c r="D46" s="703">
        <f>D37*D45</f>
        <v>2.7259259259259267E-4</v>
      </c>
      <c r="E46" s="704">
        <f>D46*E13</f>
        <v>0.95635567407407429</v>
      </c>
      <c r="F46" s="636"/>
    </row>
    <row r="47" spans="2:6" ht="34.5" customHeight="1">
      <c r="B47" s="705"/>
      <c r="C47" s="706" t="s">
        <v>851</v>
      </c>
      <c r="D47" s="707">
        <f>SUM(D45:D46)</f>
        <v>1.0133333333333333E-3</v>
      </c>
      <c r="E47" s="708">
        <f>E45+E46</f>
        <v>3.5551482666666665</v>
      </c>
      <c r="F47" s="636"/>
    </row>
    <row r="48" spans="2:6" ht="39.75" customHeight="1">
      <c r="B48" s="640">
        <v>2</v>
      </c>
      <c r="C48" s="659" t="s">
        <v>852</v>
      </c>
      <c r="D48" s="660"/>
      <c r="E48" s="661">
        <f>E27+E37+E43+E47</f>
        <v>3283.5550860444446</v>
      </c>
      <c r="F48" s="636"/>
    </row>
    <row r="49" spans="2:6" ht="33" customHeight="1">
      <c r="B49" s="640">
        <v>3</v>
      </c>
      <c r="C49" s="641" t="s">
        <v>853</v>
      </c>
      <c r="D49" s="642"/>
      <c r="E49" s="643"/>
      <c r="F49" s="636"/>
    </row>
    <row r="50" spans="2:6" ht="39" customHeight="1">
      <c r="B50" s="644" t="s">
        <v>739</v>
      </c>
      <c r="C50" s="688" t="s">
        <v>777</v>
      </c>
      <c r="D50" s="646">
        <f>1/12*3.5/100</f>
        <v>2.9166666666666664E-3</v>
      </c>
      <c r="E50" s="647">
        <f>D50*E13</f>
        <v>10.232745833333333</v>
      </c>
      <c r="F50" s="636"/>
    </row>
    <row r="51" spans="2:6" ht="39" customHeight="1" thickBot="1">
      <c r="B51" s="709" t="s">
        <v>741</v>
      </c>
      <c r="C51" s="710" t="s">
        <v>780</v>
      </c>
      <c r="D51" s="711">
        <f>3.5/100*1/12*(1/12+(1+1/3)/12)</f>
        <v>5.6712962962962956E-4</v>
      </c>
      <c r="E51" s="647">
        <f>D51*E13</f>
        <v>1.9897005787037034</v>
      </c>
      <c r="F51" s="636"/>
    </row>
    <row r="52" spans="2:6" ht="35.25" customHeight="1" thickBot="1">
      <c r="B52" s="692" t="s">
        <v>743</v>
      </c>
      <c r="C52" s="712" t="s">
        <v>1320</v>
      </c>
      <c r="D52" s="713">
        <f>(D37-D34)*1/12*D50</f>
        <v>7.0000000000000021E-5</v>
      </c>
      <c r="E52" s="695">
        <f>D52*E13</f>
        <v>0.24558590000000008</v>
      </c>
      <c r="F52" s="636"/>
    </row>
    <row r="53" spans="2:6" ht="31.5" customHeight="1">
      <c r="B53" s="714" t="s">
        <v>745</v>
      </c>
      <c r="C53" s="715" t="s">
        <v>854</v>
      </c>
      <c r="D53" s="716">
        <f>8/100*(D50+D51)</f>
        <v>2.787037037037037E-4</v>
      </c>
      <c r="E53" s="696">
        <f>D53*E13</f>
        <v>0.97779571296296286</v>
      </c>
      <c r="F53" s="636"/>
    </row>
    <row r="54" spans="2:6" ht="31.5" customHeight="1">
      <c r="B54" s="644" t="s">
        <v>747</v>
      </c>
      <c r="C54" s="645" t="s">
        <v>855</v>
      </c>
      <c r="D54" s="691">
        <f>8/100*40/100</f>
        <v>3.2000000000000001E-2</v>
      </c>
      <c r="E54" s="647">
        <f>D54*E13</f>
        <v>112.26783999999999</v>
      </c>
      <c r="F54" s="636"/>
    </row>
    <row r="55" spans="2:6" ht="29.25" customHeight="1">
      <c r="B55" s="679" t="s">
        <v>749</v>
      </c>
      <c r="C55" s="680" t="s">
        <v>856</v>
      </c>
      <c r="D55" s="691">
        <f>1/12*1/100</f>
        <v>8.3333333333333328E-4</v>
      </c>
      <c r="E55" s="647">
        <f>D55*E13</f>
        <v>2.9236416666666663</v>
      </c>
      <c r="F55" s="636"/>
    </row>
    <row r="56" spans="2:6" ht="32.25" customHeight="1">
      <c r="B56" s="640">
        <v>3</v>
      </c>
      <c r="C56" s="717" t="s">
        <v>857</v>
      </c>
      <c r="D56" s="718">
        <f>SUM(D50:D55)</f>
        <v>3.6665833333333335E-2</v>
      </c>
      <c r="E56" s="719">
        <f>SUM(E50:E55)</f>
        <v>128.63730969166664</v>
      </c>
      <c r="F56" s="636"/>
    </row>
    <row r="57" spans="2:6" ht="33" customHeight="1">
      <c r="B57" s="640">
        <v>4</v>
      </c>
      <c r="C57" s="641" t="s">
        <v>858</v>
      </c>
      <c r="D57" s="642"/>
      <c r="E57" s="643"/>
      <c r="F57" s="636"/>
    </row>
    <row r="58" spans="2:6" ht="33" customHeight="1">
      <c r="B58" s="679" t="s">
        <v>739</v>
      </c>
      <c r="C58" s="720" t="s">
        <v>789</v>
      </c>
      <c r="D58" s="667">
        <f>1/12</f>
        <v>8.3333333333333329E-2</v>
      </c>
      <c r="E58" s="668">
        <f>D58*$E$13</f>
        <v>292.36416666666662</v>
      </c>
      <c r="F58" s="636"/>
    </row>
    <row r="59" spans="2:6" ht="30.75" customHeight="1">
      <c r="B59" s="679" t="s">
        <v>741</v>
      </c>
      <c r="C59" s="721" t="s">
        <v>859</v>
      </c>
      <c r="D59" s="667">
        <f>5/30*1/12*1.5/100</f>
        <v>2.0833333333333332E-4</v>
      </c>
      <c r="E59" s="668">
        <f t="shared" ref="E59:E61" si="1">D59*$E$13</f>
        <v>0.73091041666666656</v>
      </c>
      <c r="F59" s="636"/>
    </row>
    <row r="60" spans="2:6" ht="35.25" customHeight="1">
      <c r="B60" s="679" t="s">
        <v>743</v>
      </c>
      <c r="C60" s="721" t="s">
        <v>792</v>
      </c>
      <c r="D60" s="667">
        <f>1/30*1/12</f>
        <v>2.7777777777777779E-3</v>
      </c>
      <c r="E60" s="668">
        <f t="shared" si="1"/>
        <v>9.7454722222222223</v>
      </c>
      <c r="F60" s="636"/>
    </row>
    <row r="61" spans="2:6" ht="29.25" customHeight="1" thickBot="1">
      <c r="B61" s="697" t="s">
        <v>745</v>
      </c>
      <c r="C61" s="722" t="s">
        <v>793</v>
      </c>
      <c r="D61" s="699">
        <f>7/30*1/12*5/100</f>
        <v>9.7222222222222219E-4</v>
      </c>
      <c r="E61" s="668">
        <f t="shared" si="1"/>
        <v>3.4109152777777774</v>
      </c>
      <c r="F61" s="723"/>
    </row>
    <row r="62" spans="2:6" ht="36" customHeight="1" thickBot="1">
      <c r="B62" s="701" t="s">
        <v>747</v>
      </c>
      <c r="C62" s="724" t="s">
        <v>795</v>
      </c>
      <c r="D62" s="694">
        <f>D37*SUM(D58:D61)</f>
        <v>3.2123333333333344E-2</v>
      </c>
      <c r="E62" s="704">
        <f>D62*E13</f>
        <v>112.7005389666667</v>
      </c>
      <c r="F62" s="636"/>
    </row>
    <row r="63" spans="2:6" ht="39" customHeight="1">
      <c r="B63" s="725" t="s">
        <v>749</v>
      </c>
      <c r="C63" s="726" t="s">
        <v>860</v>
      </c>
      <c r="D63" s="727">
        <f>4.14/30*1/12</f>
        <v>1.1499999999999998E-2</v>
      </c>
      <c r="E63" s="728">
        <f>D63*E13</f>
        <v>40.346254999999992</v>
      </c>
      <c r="F63" s="729"/>
    </row>
    <row r="64" spans="2:6" ht="38.25" customHeight="1" thickBot="1">
      <c r="B64" s="697" t="s">
        <v>751</v>
      </c>
      <c r="C64" s="730" t="s">
        <v>797</v>
      </c>
      <c r="D64" s="699">
        <f>15/30*1/12*8/100</f>
        <v>3.3333333333333331E-3</v>
      </c>
      <c r="E64" s="700">
        <f>D64*E13</f>
        <v>11.694566666666665</v>
      </c>
      <c r="F64" s="636"/>
    </row>
    <row r="65" spans="2:8" ht="37.5" customHeight="1" thickBot="1">
      <c r="B65" s="701" t="s">
        <v>755</v>
      </c>
      <c r="C65" s="724" t="s">
        <v>861</v>
      </c>
      <c r="D65" s="703">
        <f>(D43+D47+D56)*(D58+D59+D60+D61+D63+D64)</f>
        <v>1.9734096006944445E-2</v>
      </c>
      <c r="E65" s="704">
        <f>D65*E13</f>
        <v>69.234510407883675</v>
      </c>
      <c r="F65" s="636"/>
    </row>
    <row r="66" spans="2:8" ht="36" customHeight="1">
      <c r="B66" s="731">
        <v>4</v>
      </c>
      <c r="C66" s="732" t="s">
        <v>862</v>
      </c>
      <c r="D66" s="733">
        <f>SUM(D58:D65)</f>
        <v>0.15398242934027781</v>
      </c>
      <c r="E66" s="734">
        <f>SUM(E58:E65)</f>
        <v>540.22733562455039</v>
      </c>
      <c r="F66" s="636"/>
    </row>
    <row r="67" spans="2:8" ht="36" customHeight="1">
      <c r="B67" s="1101" t="s">
        <v>863</v>
      </c>
      <c r="C67" s="1102"/>
      <c r="D67" s="735">
        <f>D37+D43+D47+D56+D66</f>
        <v>0.7152171515625001</v>
      </c>
      <c r="E67" s="736">
        <f>E37+E43+E47+E56+E66</f>
        <v>2509.2463980273283</v>
      </c>
      <c r="F67" s="636"/>
      <c r="H67" s="737"/>
    </row>
    <row r="68" spans="2:8" ht="36.75" customHeight="1">
      <c r="B68" s="640">
        <v>5</v>
      </c>
      <c r="C68" s="641" t="s">
        <v>864</v>
      </c>
      <c r="D68" s="642"/>
      <c r="E68" s="643"/>
      <c r="F68" s="636"/>
    </row>
    <row r="69" spans="2:8" ht="32.25" customHeight="1">
      <c r="B69" s="679" t="s">
        <v>739</v>
      </c>
      <c r="C69" s="680" t="s">
        <v>865</v>
      </c>
      <c r="D69" s="667"/>
      <c r="E69" s="215">
        <f>Uniformes_Equipe!I13</f>
        <v>213.41166666666663</v>
      </c>
      <c r="F69" s="636"/>
    </row>
    <row r="70" spans="2:8" ht="28.5" customHeight="1">
      <c r="B70" s="679" t="s">
        <v>741</v>
      </c>
      <c r="C70" s="680" t="s">
        <v>866</v>
      </c>
      <c r="D70" s="738"/>
      <c r="E70" s="668"/>
      <c r="F70" s="636"/>
    </row>
    <row r="71" spans="2:8" ht="30" customHeight="1">
      <c r="B71" s="679" t="s">
        <v>743</v>
      </c>
      <c r="C71" s="680" t="s">
        <v>867</v>
      </c>
      <c r="D71" s="738"/>
      <c r="E71" s="668"/>
      <c r="F71" s="636"/>
    </row>
    <row r="72" spans="2:8" ht="32.25" customHeight="1">
      <c r="B72" s="640">
        <v>5</v>
      </c>
      <c r="C72" s="659" t="s">
        <v>868</v>
      </c>
      <c r="D72" s="660"/>
      <c r="E72" s="739">
        <f>SUM(E69:E71)</f>
        <v>213.41166666666663</v>
      </c>
      <c r="F72" s="636"/>
    </row>
    <row r="73" spans="2:8" ht="33" customHeight="1">
      <c r="B73" s="1103" t="s">
        <v>869</v>
      </c>
      <c r="C73" s="1104"/>
      <c r="D73" s="740"/>
      <c r="E73" s="741">
        <f>E17+E48+E56+E66+E72</f>
        <v>7674.2013980273287</v>
      </c>
      <c r="F73" s="636"/>
    </row>
    <row r="74" spans="2:8" ht="39" customHeight="1">
      <c r="B74" s="742" t="s">
        <v>15</v>
      </c>
      <c r="C74" s="1105"/>
      <c r="D74" s="1106"/>
      <c r="E74" s="1106"/>
      <c r="F74" s="636"/>
    </row>
    <row r="75" spans="2:8" ht="81.75" customHeight="1">
      <c r="B75" s="743" t="s">
        <v>870</v>
      </c>
      <c r="C75" s="1089" t="s">
        <v>871</v>
      </c>
      <c r="D75" s="1090"/>
      <c r="E75" s="1091"/>
      <c r="F75" s="636"/>
    </row>
    <row r="76" spans="2:8" ht="43.5" customHeight="1">
      <c r="B76" s="753" t="s">
        <v>872</v>
      </c>
      <c r="C76" s="1092" t="s">
        <v>1321</v>
      </c>
      <c r="D76" s="1093"/>
      <c r="E76" s="1094"/>
      <c r="F76" s="636"/>
    </row>
    <row r="77" spans="2:8" ht="40.5" customHeight="1">
      <c r="B77" s="743" t="s">
        <v>873</v>
      </c>
      <c r="C77" s="1089" t="s">
        <v>874</v>
      </c>
      <c r="D77" s="1090"/>
      <c r="E77" s="1091"/>
      <c r="F77" s="636"/>
    </row>
    <row r="78" spans="2:8" ht="51.75" customHeight="1">
      <c r="B78" s="744" t="s">
        <v>875</v>
      </c>
      <c r="C78" s="1089" t="s">
        <v>876</v>
      </c>
      <c r="D78" s="1090"/>
      <c r="E78" s="1091"/>
      <c r="F78" s="636"/>
    </row>
    <row r="79" spans="2:8" ht="33" customHeight="1">
      <c r="B79" s="745"/>
      <c r="C79" s="746"/>
      <c r="D79" s="747"/>
      <c r="E79" s="748"/>
      <c r="F79" s="636"/>
    </row>
    <row r="80" spans="2:8" ht="33" customHeight="1">
      <c r="B80" s="745"/>
      <c r="C80" s="746"/>
      <c r="D80" s="747"/>
      <c r="E80" s="748"/>
      <c r="F80" s="636"/>
    </row>
    <row r="81" spans="2:6" ht="33" customHeight="1">
      <c r="B81" s="745"/>
      <c r="C81" s="746"/>
      <c r="D81" s="747"/>
      <c r="E81" s="748"/>
      <c r="F81" s="636"/>
    </row>
    <row r="82" spans="2:6" ht="33" customHeight="1">
      <c r="B82" s="745"/>
      <c r="C82" s="746"/>
      <c r="D82" s="747"/>
      <c r="E82" s="748"/>
      <c r="F82" s="636"/>
    </row>
    <row r="83" spans="2:6" ht="33" customHeight="1">
      <c r="B83" s="745"/>
      <c r="C83" s="746"/>
      <c r="D83" s="747"/>
      <c r="E83" s="748"/>
      <c r="F83" s="636"/>
    </row>
    <row r="84" spans="2:6" ht="33" customHeight="1">
      <c r="B84" s="745"/>
      <c r="C84" s="746"/>
      <c r="D84" s="747"/>
      <c r="E84" s="748"/>
      <c r="F84" s="636"/>
    </row>
    <row r="85" spans="2:6" ht="33" customHeight="1">
      <c r="B85" s="745"/>
      <c r="C85" s="746"/>
      <c r="D85" s="747"/>
      <c r="E85" s="748"/>
      <c r="F85" s="636"/>
    </row>
    <row r="86" spans="2:6" ht="33" customHeight="1">
      <c r="B86" s="745"/>
      <c r="C86" s="746"/>
      <c r="D86" s="747"/>
      <c r="E86" s="748"/>
      <c r="F86" s="636"/>
    </row>
    <row r="87" spans="2:6" ht="33" customHeight="1">
      <c r="B87" s="745"/>
      <c r="C87" s="746"/>
      <c r="D87" s="747"/>
      <c r="E87" s="748"/>
      <c r="F87" s="63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K87"/>
  <sheetViews>
    <sheetView showGridLines="0" topLeftCell="A56" zoomScale="60" zoomScaleNormal="60" workbookViewId="0">
      <selection activeCell="B2" sqref="B2:E78"/>
    </sheetView>
  </sheetViews>
  <sheetFormatPr defaultColWidth="9.140625" defaultRowHeight="25.5"/>
  <cols>
    <col min="1" max="1" width="4.85546875" style="635" customWidth="1"/>
    <col min="2" max="2" width="11" style="749" customWidth="1"/>
    <col min="3" max="3" width="131.7109375" style="750" customWidth="1"/>
    <col min="4" max="4" width="28" style="751" customWidth="1"/>
    <col min="5" max="5" width="24.5703125" style="752" customWidth="1"/>
    <col min="6" max="6" width="6.140625" style="634" customWidth="1"/>
    <col min="7" max="7" width="9.140625" style="635"/>
    <col min="8" max="8" width="21.28515625" style="635" customWidth="1"/>
    <col min="9" max="10" width="9.140625" style="635"/>
    <col min="11" max="11" width="14.7109375" style="737" bestFit="1" customWidth="1"/>
    <col min="12" max="16384" width="9.140625" style="635"/>
  </cols>
  <sheetData>
    <row r="2" spans="2:6" ht="33.75" customHeight="1">
      <c r="B2" s="1095" t="str">
        <f>CONCATENATE("Planilha do Custo Direto da Mão de Obra - ", Áreas_edf_e_Descrição_postos!C17)</f>
        <v>Planilha do Custo Direto da Mão de Obra - Garçom</v>
      </c>
      <c r="C2" s="1096"/>
      <c r="D2" s="1096"/>
      <c r="E2" s="1097"/>
    </row>
    <row r="3" spans="2:6" ht="33.75" customHeight="1">
      <c r="B3" s="1098" t="s">
        <v>1318</v>
      </c>
      <c r="C3" s="1098"/>
      <c r="D3" s="1098"/>
      <c r="E3" s="1098"/>
      <c r="F3" s="636"/>
    </row>
    <row r="4" spans="2:6" ht="35.25" customHeight="1">
      <c r="B4" s="637" t="s">
        <v>810</v>
      </c>
      <c r="C4" s="637" t="s">
        <v>811</v>
      </c>
      <c r="D4" s="638" t="s">
        <v>812</v>
      </c>
      <c r="E4" s="639" t="s">
        <v>813</v>
      </c>
      <c r="F4" s="636"/>
    </row>
    <row r="5" spans="2:6" ht="31.5" customHeight="1">
      <c r="B5" s="640">
        <v>1</v>
      </c>
      <c r="C5" s="641" t="s">
        <v>814</v>
      </c>
      <c r="D5" s="642"/>
      <c r="E5" s="643"/>
      <c r="F5" s="636"/>
    </row>
    <row r="6" spans="2:6" ht="30.75" customHeight="1">
      <c r="B6" s="754" t="s">
        <v>739</v>
      </c>
      <c r="C6" s="755" t="s">
        <v>815</v>
      </c>
      <c r="D6" s="756"/>
      <c r="E6" s="757">
        <f>Áreas_edf_e_Descrição_postos!F17</f>
        <v>2691.93</v>
      </c>
      <c r="F6" s="636"/>
    </row>
    <row r="7" spans="2:6" ht="27" customHeight="1">
      <c r="B7" s="644" t="s">
        <v>741</v>
      </c>
      <c r="C7" s="645" t="s">
        <v>816</v>
      </c>
      <c r="D7" s="646"/>
      <c r="E7" s="647"/>
      <c r="F7" s="636"/>
    </row>
    <row r="8" spans="2:6" ht="27" customHeight="1">
      <c r="B8" s="644"/>
      <c r="C8" s="648" t="s">
        <v>817</v>
      </c>
      <c r="D8" s="649"/>
      <c r="E8" s="647"/>
      <c r="F8" s="636"/>
    </row>
    <row r="9" spans="2:6" ht="27.75" customHeight="1">
      <c r="B9" s="644" t="s">
        <v>743</v>
      </c>
      <c r="C9" s="645" t="s">
        <v>818</v>
      </c>
      <c r="D9" s="650"/>
      <c r="E9" s="651"/>
      <c r="F9" s="636"/>
    </row>
    <row r="10" spans="2:6" ht="29.25" customHeight="1">
      <c r="B10" s="644" t="s">
        <v>745</v>
      </c>
      <c r="C10" s="645" t="s">
        <v>819</v>
      </c>
      <c r="D10" s="646"/>
      <c r="E10" s="647"/>
      <c r="F10" s="636"/>
    </row>
    <row r="11" spans="2:6" ht="29.25" customHeight="1">
      <c r="B11" s="644" t="s">
        <v>747</v>
      </c>
      <c r="C11" s="645" t="s">
        <v>820</v>
      </c>
      <c r="D11" s="646"/>
      <c r="E11" s="647"/>
      <c r="F11" s="636"/>
    </row>
    <row r="12" spans="2:6" ht="30.75" customHeight="1">
      <c r="B12" s="644" t="s">
        <v>749</v>
      </c>
      <c r="C12" s="645" t="s">
        <v>821</v>
      </c>
      <c r="D12" s="646"/>
      <c r="E12" s="647"/>
      <c r="F12" s="636"/>
    </row>
    <row r="13" spans="2:6" ht="33" customHeight="1">
      <c r="B13" s="1099" t="s">
        <v>822</v>
      </c>
      <c r="C13" s="1100"/>
      <c r="D13" s="652"/>
      <c r="E13" s="653">
        <f>SUM(E6:E12)</f>
        <v>2691.93</v>
      </c>
      <c r="F13" s="636"/>
    </row>
    <row r="14" spans="2:6" ht="33" customHeight="1">
      <c r="B14" s="654"/>
      <c r="C14" s="655" t="s">
        <v>823</v>
      </c>
      <c r="D14" s="646"/>
      <c r="E14" s="647"/>
      <c r="F14" s="636"/>
    </row>
    <row r="15" spans="2:6" ht="31.5" customHeight="1">
      <c r="B15" s="654" t="s">
        <v>751</v>
      </c>
      <c r="C15" s="656" t="s">
        <v>824</v>
      </c>
      <c r="D15" s="646"/>
      <c r="E15" s="657"/>
      <c r="F15" s="636"/>
    </row>
    <row r="16" spans="2:6" ht="31.5" customHeight="1">
      <c r="B16" s="654" t="s">
        <v>755</v>
      </c>
      <c r="C16" s="658" t="s">
        <v>825</v>
      </c>
      <c r="D16" s="646"/>
      <c r="E16" s="657"/>
      <c r="F16" s="636"/>
    </row>
    <row r="17" spans="2:8" ht="33.75" customHeight="1">
      <c r="B17" s="640">
        <v>1</v>
      </c>
      <c r="C17" s="659" t="s">
        <v>826</v>
      </c>
      <c r="D17" s="660"/>
      <c r="E17" s="661">
        <f>E13+E15</f>
        <v>2691.93</v>
      </c>
      <c r="F17" s="636"/>
    </row>
    <row r="18" spans="2:8" ht="33.75" customHeight="1">
      <c r="B18" s="640">
        <v>2</v>
      </c>
      <c r="C18" s="641" t="s">
        <v>827</v>
      </c>
      <c r="D18" s="642"/>
      <c r="E18" s="643"/>
      <c r="F18" s="636"/>
    </row>
    <row r="19" spans="2:8" ht="33.75" customHeight="1">
      <c r="B19" s="652"/>
      <c r="C19" s="662" t="s">
        <v>828</v>
      </c>
      <c r="D19" s="663"/>
      <c r="E19" s="664"/>
      <c r="F19" s="636"/>
    </row>
    <row r="20" spans="2:8" ht="33.75" customHeight="1">
      <c r="B20" s="665" t="s">
        <v>739</v>
      </c>
      <c r="C20" s="666" t="s">
        <v>829</v>
      </c>
      <c r="D20" s="667"/>
      <c r="E20" s="668">
        <f>'Escalas, VT e VA'!J19</f>
        <v>521.40000000000009</v>
      </c>
      <c r="F20" s="636"/>
    </row>
    <row r="21" spans="2:8" ht="33.75" customHeight="1">
      <c r="B21" s="665" t="s">
        <v>741</v>
      </c>
      <c r="C21" s="666" t="s">
        <v>830</v>
      </c>
      <c r="D21" s="667"/>
      <c r="E21" s="669">
        <f>ROUND(IF(ABS(-0.06*E6)&gt;E20,-1*E20,-6/100*E6),2)</f>
        <v>-161.52000000000001</v>
      </c>
      <c r="F21" s="636"/>
      <c r="H21" s="670"/>
    </row>
    <row r="22" spans="2:8" ht="33.75" customHeight="1">
      <c r="B22" s="665" t="s">
        <v>743</v>
      </c>
      <c r="C22" s="666" t="s">
        <v>707</v>
      </c>
      <c r="D22" s="667"/>
      <c r="E22" s="668">
        <f>'Escalas, VT e VA'!H30</f>
        <v>928.4</v>
      </c>
      <c r="F22" s="636"/>
    </row>
    <row r="23" spans="2:8" ht="33.75" customHeight="1">
      <c r="B23" s="665" t="s">
        <v>745</v>
      </c>
      <c r="C23" s="211" t="s">
        <v>831</v>
      </c>
      <c r="D23" s="667"/>
      <c r="E23" s="668">
        <v>187.18</v>
      </c>
      <c r="F23" s="636"/>
    </row>
    <row r="24" spans="2:8" ht="33.75" customHeight="1">
      <c r="B24" s="665" t="s">
        <v>747</v>
      </c>
      <c r="C24" s="211" t="s">
        <v>832</v>
      </c>
      <c r="D24" s="667"/>
      <c r="E24" s="668">
        <v>3.3</v>
      </c>
      <c r="F24" s="636"/>
    </row>
    <row r="25" spans="2:8" ht="33.75" customHeight="1">
      <c r="B25" s="665" t="s">
        <v>749</v>
      </c>
      <c r="C25" s="211" t="s">
        <v>833</v>
      </c>
      <c r="D25" s="667"/>
      <c r="E25" s="671">
        <v>12.81</v>
      </c>
      <c r="F25" s="636"/>
    </row>
    <row r="26" spans="2:8" ht="33.75" customHeight="1">
      <c r="B26" s="665" t="s">
        <v>751</v>
      </c>
      <c r="C26" s="211" t="s">
        <v>834</v>
      </c>
      <c r="D26" s="667"/>
      <c r="E26" s="671">
        <f>14/12*0.5</f>
        <v>0.58333333333333337</v>
      </c>
      <c r="F26" s="636"/>
    </row>
    <row r="27" spans="2:8" ht="33.75" customHeight="1">
      <c r="B27" s="672"/>
      <c r="C27" s="673" t="s">
        <v>835</v>
      </c>
      <c r="D27" s="674"/>
      <c r="E27" s="675">
        <f>SUM(E20:E26)</f>
        <v>1492.1533333333334</v>
      </c>
      <c r="F27" s="636"/>
    </row>
    <row r="28" spans="2:8" ht="33.75" customHeight="1">
      <c r="B28" s="676"/>
      <c r="C28" s="662" t="s">
        <v>836</v>
      </c>
      <c r="D28" s="677"/>
      <c r="E28" s="678"/>
      <c r="F28" s="636"/>
    </row>
    <row r="29" spans="2:8" ht="33.75" customHeight="1">
      <c r="B29" s="679" t="s">
        <v>739</v>
      </c>
      <c r="C29" s="680" t="s">
        <v>837</v>
      </c>
      <c r="D29" s="667">
        <v>0.2</v>
      </c>
      <c r="E29" s="668">
        <f>D29*$E$13</f>
        <v>538.38599999999997</v>
      </c>
      <c r="F29" s="636"/>
    </row>
    <row r="30" spans="2:8" ht="51.75" customHeight="1">
      <c r="B30" s="679" t="s">
        <v>741</v>
      </c>
      <c r="C30" s="680" t="s">
        <v>838</v>
      </c>
      <c r="D30" s="681">
        <v>1.4999999999999999E-2</v>
      </c>
      <c r="E30" s="668">
        <f t="shared" ref="E30:E36" si="0">D30*$E$13</f>
        <v>40.378949999999996</v>
      </c>
      <c r="F30" s="636"/>
    </row>
    <row r="31" spans="2:8" ht="51" customHeight="1">
      <c r="B31" s="679" t="s">
        <v>743</v>
      </c>
      <c r="C31" s="682" t="s">
        <v>1319</v>
      </c>
      <c r="D31" s="681">
        <v>0.01</v>
      </c>
      <c r="E31" s="668">
        <f t="shared" si="0"/>
        <v>26.9193</v>
      </c>
      <c r="F31" s="636"/>
    </row>
    <row r="32" spans="2:8" ht="33.75" customHeight="1">
      <c r="B32" s="679" t="s">
        <v>745</v>
      </c>
      <c r="C32" s="680" t="s">
        <v>839</v>
      </c>
      <c r="D32" s="681">
        <v>2E-3</v>
      </c>
      <c r="E32" s="668">
        <f t="shared" si="0"/>
        <v>5.3838599999999994</v>
      </c>
      <c r="F32" s="636"/>
    </row>
    <row r="33" spans="2:6" ht="33.75" customHeight="1">
      <c r="B33" s="679" t="s">
        <v>747</v>
      </c>
      <c r="C33" s="680" t="s">
        <v>840</v>
      </c>
      <c r="D33" s="681">
        <v>2.5000000000000001E-2</v>
      </c>
      <c r="E33" s="668">
        <f t="shared" si="0"/>
        <v>67.298249999999996</v>
      </c>
      <c r="F33" s="636"/>
    </row>
    <row r="34" spans="2:6" ht="33.75" customHeight="1">
      <c r="B34" s="683" t="s">
        <v>749</v>
      </c>
      <c r="C34" s="684" t="s">
        <v>841</v>
      </c>
      <c r="D34" s="685">
        <v>0.08</v>
      </c>
      <c r="E34" s="668">
        <f t="shared" si="0"/>
        <v>215.3544</v>
      </c>
      <c r="F34" s="636"/>
    </row>
    <row r="35" spans="2:6" ht="33.75" customHeight="1">
      <c r="B35" s="679" t="s">
        <v>751</v>
      </c>
      <c r="C35" s="680" t="s">
        <v>842</v>
      </c>
      <c r="D35" s="681">
        <f>3%*1</f>
        <v>0.03</v>
      </c>
      <c r="E35" s="668">
        <f t="shared" si="0"/>
        <v>80.757899999999992</v>
      </c>
      <c r="F35" s="636"/>
    </row>
    <row r="36" spans="2:6" ht="33.75" customHeight="1">
      <c r="B36" s="679" t="s">
        <v>755</v>
      </c>
      <c r="C36" s="680" t="s">
        <v>843</v>
      </c>
      <c r="D36" s="685">
        <v>6.0000000000000001E-3</v>
      </c>
      <c r="E36" s="668">
        <f t="shared" si="0"/>
        <v>16.151579999999999</v>
      </c>
      <c r="F36" s="636"/>
    </row>
    <row r="37" spans="2:6" ht="33.75" customHeight="1">
      <c r="B37" s="686"/>
      <c r="C37" s="673" t="s">
        <v>844</v>
      </c>
      <c r="D37" s="674">
        <f>SUM(D29:D36)</f>
        <v>0.3680000000000001</v>
      </c>
      <c r="E37" s="675">
        <f>SUM(E29:E36)</f>
        <v>990.63023999999984</v>
      </c>
      <c r="F37" s="636"/>
    </row>
    <row r="38" spans="2:6" ht="33.75" customHeight="1">
      <c r="B38" s="676"/>
      <c r="C38" s="662" t="s">
        <v>845</v>
      </c>
      <c r="D38" s="677"/>
      <c r="E38" s="687"/>
      <c r="F38" s="636"/>
    </row>
    <row r="39" spans="2:6" ht="33.75" customHeight="1">
      <c r="B39" s="644" t="s">
        <v>739</v>
      </c>
      <c r="C39" s="688" t="s">
        <v>759</v>
      </c>
      <c r="D39" s="646">
        <f>1/12</f>
        <v>8.3333333333333329E-2</v>
      </c>
      <c r="E39" s="647">
        <f>D39*$E$13</f>
        <v>224.32749999999999</v>
      </c>
      <c r="F39" s="636"/>
    </row>
    <row r="40" spans="2:6" ht="33.75" customHeight="1" thickBot="1">
      <c r="B40" s="689" t="s">
        <v>741</v>
      </c>
      <c r="C40" s="690" t="s">
        <v>762</v>
      </c>
      <c r="D40" s="691">
        <f>1/3*1/12</f>
        <v>2.7777777777777776E-2</v>
      </c>
      <c r="E40" s="647">
        <f>D40*$E$13</f>
        <v>74.775833333333324</v>
      </c>
      <c r="F40" s="636"/>
    </row>
    <row r="41" spans="2:6" ht="33.75" customHeight="1" thickBot="1">
      <c r="B41" s="692" t="s">
        <v>743</v>
      </c>
      <c r="C41" s="693" t="s">
        <v>846</v>
      </c>
      <c r="D41" s="694">
        <f>D37*(D39+D40)</f>
        <v>4.0888888888888898E-2</v>
      </c>
      <c r="E41" s="695">
        <f>D41*E13</f>
        <v>110.07002666666669</v>
      </c>
      <c r="F41" s="636"/>
    </row>
    <row r="42" spans="2:6" ht="33.75" customHeight="1">
      <c r="B42" s="212" t="s">
        <v>745</v>
      </c>
      <c r="C42" s="213" t="s">
        <v>768</v>
      </c>
      <c r="D42" s="214">
        <f>8/100*40/100*(D39+D40)</f>
        <v>3.5555555555555553E-3</v>
      </c>
      <c r="E42" s="696">
        <f>D42*E13</f>
        <v>9.5713066666666649</v>
      </c>
      <c r="F42" s="636"/>
    </row>
    <row r="43" spans="2:6" ht="31.5" customHeight="1">
      <c r="B43" s="686"/>
      <c r="C43" s="673" t="s">
        <v>847</v>
      </c>
      <c r="D43" s="674">
        <f>SUM(D39:D42)</f>
        <v>0.15555555555555556</v>
      </c>
      <c r="E43" s="675">
        <f>SUM(E39:E42)</f>
        <v>418.74466666666666</v>
      </c>
      <c r="F43" s="636"/>
    </row>
    <row r="44" spans="2:6" ht="33.75" customHeight="1">
      <c r="B44" s="686"/>
      <c r="C44" s="672" t="s">
        <v>848</v>
      </c>
      <c r="D44" s="677"/>
      <c r="E44" s="678"/>
      <c r="F44" s="636"/>
    </row>
    <row r="45" spans="2:6" ht="33.75" customHeight="1" thickBot="1">
      <c r="B45" s="697" t="s">
        <v>739</v>
      </c>
      <c r="C45" s="698" t="s">
        <v>849</v>
      </c>
      <c r="D45" s="699">
        <f>(1+1/3)/12*2/100*4/12</f>
        <v>7.407407407407407E-4</v>
      </c>
      <c r="E45" s="700">
        <f>D45*E13</f>
        <v>1.9940222222222219</v>
      </c>
      <c r="F45" s="636"/>
    </row>
    <row r="46" spans="2:6" ht="33" customHeight="1" thickBot="1">
      <c r="B46" s="701" t="s">
        <v>741</v>
      </c>
      <c r="C46" s="702" t="s">
        <v>850</v>
      </c>
      <c r="D46" s="703">
        <f>D37*D45</f>
        <v>2.7259259259259267E-4</v>
      </c>
      <c r="E46" s="704">
        <f>D46*E13</f>
        <v>0.73380017777777795</v>
      </c>
      <c r="F46" s="636"/>
    </row>
    <row r="47" spans="2:6" ht="34.5" customHeight="1">
      <c r="B47" s="705"/>
      <c r="C47" s="706" t="s">
        <v>851</v>
      </c>
      <c r="D47" s="707">
        <f>SUM(D45:D46)</f>
        <v>1.0133333333333333E-3</v>
      </c>
      <c r="E47" s="708">
        <f>E45+E46</f>
        <v>2.7278224</v>
      </c>
      <c r="F47" s="636"/>
    </row>
    <row r="48" spans="2:6" ht="39.75" customHeight="1">
      <c r="B48" s="640">
        <v>2</v>
      </c>
      <c r="C48" s="659" t="s">
        <v>852</v>
      </c>
      <c r="D48" s="660"/>
      <c r="E48" s="661">
        <f>E27+E37+E43+E47</f>
        <v>2904.2560623999998</v>
      </c>
      <c r="F48" s="636"/>
    </row>
    <row r="49" spans="2:6" ht="33" customHeight="1">
      <c r="B49" s="640">
        <v>3</v>
      </c>
      <c r="C49" s="641" t="s">
        <v>853</v>
      </c>
      <c r="D49" s="642"/>
      <c r="E49" s="643"/>
      <c r="F49" s="636"/>
    </row>
    <row r="50" spans="2:6" ht="39" customHeight="1">
      <c r="B50" s="644" t="s">
        <v>739</v>
      </c>
      <c r="C50" s="688" t="s">
        <v>777</v>
      </c>
      <c r="D50" s="646">
        <f>1/12*3.5/100</f>
        <v>2.9166666666666664E-3</v>
      </c>
      <c r="E50" s="647">
        <f>D50*E13</f>
        <v>7.8514624999999985</v>
      </c>
      <c r="F50" s="636"/>
    </row>
    <row r="51" spans="2:6" ht="39" customHeight="1" thickBot="1">
      <c r="B51" s="709" t="s">
        <v>741</v>
      </c>
      <c r="C51" s="710" t="s">
        <v>780</v>
      </c>
      <c r="D51" s="711">
        <f>3.5/100*1/12*(1/12+(1+1/3)/12)</f>
        <v>5.6712962962962956E-4</v>
      </c>
      <c r="E51" s="647">
        <f>D51*E13</f>
        <v>1.5266732638888887</v>
      </c>
      <c r="F51" s="636"/>
    </row>
    <row r="52" spans="2:6" ht="35.25" customHeight="1" thickBot="1">
      <c r="B52" s="692" t="s">
        <v>743</v>
      </c>
      <c r="C52" s="712" t="s">
        <v>1320</v>
      </c>
      <c r="D52" s="713">
        <f>(D37-D34)*1/12*D50</f>
        <v>7.0000000000000021E-5</v>
      </c>
      <c r="E52" s="695">
        <f>D52*E13</f>
        <v>0.18843510000000005</v>
      </c>
      <c r="F52" s="636"/>
    </row>
    <row r="53" spans="2:6" ht="31.5" customHeight="1">
      <c r="B53" s="714" t="s">
        <v>745</v>
      </c>
      <c r="C53" s="715" t="s">
        <v>854</v>
      </c>
      <c r="D53" s="716">
        <f>8/100*(D50+D51)</f>
        <v>2.787037037037037E-4</v>
      </c>
      <c r="E53" s="696">
        <f>D53*E13</f>
        <v>0.75025086111111106</v>
      </c>
      <c r="F53" s="636"/>
    </row>
    <row r="54" spans="2:6" ht="31.5" customHeight="1">
      <c r="B54" s="644" t="s">
        <v>747</v>
      </c>
      <c r="C54" s="645" t="s">
        <v>855</v>
      </c>
      <c r="D54" s="691">
        <f>8/100*40/100</f>
        <v>3.2000000000000001E-2</v>
      </c>
      <c r="E54" s="647">
        <f>D54*E13</f>
        <v>86.141759999999991</v>
      </c>
      <c r="F54" s="636"/>
    </row>
    <row r="55" spans="2:6" ht="29.25" customHeight="1">
      <c r="B55" s="679" t="s">
        <v>749</v>
      </c>
      <c r="C55" s="680" t="s">
        <v>856</v>
      </c>
      <c r="D55" s="691">
        <f>1/12*1/100</f>
        <v>8.3333333333333328E-4</v>
      </c>
      <c r="E55" s="647">
        <f>D55*E13</f>
        <v>2.2432749999999997</v>
      </c>
      <c r="F55" s="636"/>
    </row>
    <row r="56" spans="2:6" ht="32.25" customHeight="1">
      <c r="B56" s="640">
        <v>3</v>
      </c>
      <c r="C56" s="717" t="s">
        <v>857</v>
      </c>
      <c r="D56" s="718">
        <f>SUM(D50:D55)</f>
        <v>3.6665833333333335E-2</v>
      </c>
      <c r="E56" s="719">
        <f>SUM(E50:E55)</f>
        <v>98.701856724999985</v>
      </c>
      <c r="F56" s="636"/>
    </row>
    <row r="57" spans="2:6" ht="33" customHeight="1">
      <c r="B57" s="640">
        <v>4</v>
      </c>
      <c r="C57" s="641" t="s">
        <v>858</v>
      </c>
      <c r="D57" s="642"/>
      <c r="E57" s="643"/>
      <c r="F57" s="636"/>
    </row>
    <row r="58" spans="2:6" ht="33" customHeight="1">
      <c r="B58" s="679" t="s">
        <v>739</v>
      </c>
      <c r="C58" s="720" t="s">
        <v>789</v>
      </c>
      <c r="D58" s="667">
        <f>1/12</f>
        <v>8.3333333333333329E-2</v>
      </c>
      <c r="E58" s="668">
        <f>D58*$E$13</f>
        <v>224.32749999999999</v>
      </c>
      <c r="F58" s="636"/>
    </row>
    <row r="59" spans="2:6" ht="30.75" customHeight="1">
      <c r="B59" s="679" t="s">
        <v>741</v>
      </c>
      <c r="C59" s="721" t="s">
        <v>859</v>
      </c>
      <c r="D59" s="667">
        <f>5/30*1/12*1.5/100</f>
        <v>2.0833333333333332E-4</v>
      </c>
      <c r="E59" s="668">
        <f t="shared" ref="E59:E61" si="1">D59*$E$13</f>
        <v>0.56081874999999992</v>
      </c>
      <c r="F59" s="636"/>
    </row>
    <row r="60" spans="2:6" ht="35.25" customHeight="1">
      <c r="B60" s="679" t="s">
        <v>743</v>
      </c>
      <c r="C60" s="721" t="s">
        <v>792</v>
      </c>
      <c r="D60" s="667">
        <f>1/30*1/12</f>
        <v>2.7777777777777779E-3</v>
      </c>
      <c r="E60" s="668">
        <f t="shared" si="1"/>
        <v>7.4775833333333335</v>
      </c>
      <c r="F60" s="636"/>
    </row>
    <row r="61" spans="2:6" ht="29.25" customHeight="1" thickBot="1">
      <c r="B61" s="697" t="s">
        <v>745</v>
      </c>
      <c r="C61" s="722" t="s">
        <v>793</v>
      </c>
      <c r="D61" s="699">
        <f>7/30*1/12*5/100</f>
        <v>9.7222222222222219E-4</v>
      </c>
      <c r="E61" s="668">
        <f t="shared" si="1"/>
        <v>2.6171541666666664</v>
      </c>
      <c r="F61" s="723"/>
    </row>
    <row r="62" spans="2:6" ht="36" customHeight="1" thickBot="1">
      <c r="B62" s="701" t="s">
        <v>747</v>
      </c>
      <c r="C62" s="724" t="s">
        <v>795</v>
      </c>
      <c r="D62" s="694">
        <f>D37*SUM(D58:D61)</f>
        <v>3.2123333333333344E-2</v>
      </c>
      <c r="E62" s="704">
        <f>D62*E13</f>
        <v>86.473764700000018</v>
      </c>
      <c r="F62" s="636"/>
    </row>
    <row r="63" spans="2:6" ht="39" customHeight="1">
      <c r="B63" s="725" t="s">
        <v>749</v>
      </c>
      <c r="C63" s="726" t="s">
        <v>860</v>
      </c>
      <c r="D63" s="727">
        <f>4.14/30*1/12</f>
        <v>1.1499999999999998E-2</v>
      </c>
      <c r="E63" s="728">
        <f>D63*E13</f>
        <v>30.957194999999992</v>
      </c>
      <c r="F63" s="729"/>
    </row>
    <row r="64" spans="2:6" ht="38.25" customHeight="1" thickBot="1">
      <c r="B64" s="697" t="s">
        <v>751</v>
      </c>
      <c r="C64" s="730" t="s">
        <v>797</v>
      </c>
      <c r="D64" s="699">
        <f>15/30*1/12*8/100</f>
        <v>3.3333333333333331E-3</v>
      </c>
      <c r="E64" s="700">
        <f>D64*E13</f>
        <v>8.9730999999999987</v>
      </c>
      <c r="F64" s="636"/>
    </row>
    <row r="65" spans="2:8" ht="37.5" customHeight="1" thickBot="1">
      <c r="B65" s="701" t="s">
        <v>755</v>
      </c>
      <c r="C65" s="724" t="s">
        <v>861</v>
      </c>
      <c r="D65" s="703">
        <f>(D43+D47+D56)*(D58+D59+D60+D61+D63+D64)</f>
        <v>1.9734096006944445E-2</v>
      </c>
      <c r="E65" s="704">
        <f>D65*E13</f>
        <v>53.122805063973956</v>
      </c>
      <c r="F65" s="636"/>
    </row>
    <row r="66" spans="2:8" ht="36" customHeight="1">
      <c r="B66" s="731">
        <v>4</v>
      </c>
      <c r="C66" s="732" t="s">
        <v>862</v>
      </c>
      <c r="D66" s="733">
        <f>SUM(D58:D65)</f>
        <v>0.15398242934027781</v>
      </c>
      <c r="E66" s="734">
        <f>SUM(E58:E65)</f>
        <v>414.50992101397395</v>
      </c>
      <c r="F66" s="636"/>
    </row>
    <row r="67" spans="2:8" ht="36" customHeight="1">
      <c r="B67" s="1101" t="s">
        <v>863</v>
      </c>
      <c r="C67" s="1102"/>
      <c r="D67" s="735">
        <f>D37+D43+D47+D56+D66</f>
        <v>0.7152171515625001</v>
      </c>
      <c r="E67" s="736">
        <f>E37+E43+E47+E56+E66</f>
        <v>1925.3145068056403</v>
      </c>
      <c r="F67" s="636"/>
      <c r="H67" s="737"/>
    </row>
    <row r="68" spans="2:8" ht="36.75" customHeight="1">
      <c r="B68" s="640">
        <v>5</v>
      </c>
      <c r="C68" s="641" t="s">
        <v>864</v>
      </c>
      <c r="D68" s="642"/>
      <c r="E68" s="643"/>
      <c r="F68" s="636"/>
    </row>
    <row r="69" spans="2:8" ht="32.25" customHeight="1">
      <c r="B69" s="679" t="s">
        <v>739</v>
      </c>
      <c r="C69" s="680" t="s">
        <v>865</v>
      </c>
      <c r="D69" s="667"/>
      <c r="E69" s="215">
        <f>Uniformes_Equipe!I39</f>
        <v>217.90819444444443</v>
      </c>
      <c r="F69" s="636"/>
    </row>
    <row r="70" spans="2:8" ht="28.5" customHeight="1">
      <c r="B70" s="679" t="s">
        <v>741</v>
      </c>
      <c r="C70" s="680" t="s">
        <v>866</v>
      </c>
      <c r="D70" s="738"/>
      <c r="E70" s="668"/>
      <c r="F70" s="636"/>
    </row>
    <row r="71" spans="2:8" ht="30" customHeight="1">
      <c r="B71" s="679" t="s">
        <v>743</v>
      </c>
      <c r="C71" s="680" t="s">
        <v>867</v>
      </c>
      <c r="D71" s="738"/>
      <c r="E71" s="668"/>
      <c r="F71" s="636"/>
    </row>
    <row r="72" spans="2:8" ht="32.25" customHeight="1">
      <c r="B72" s="640">
        <v>5</v>
      </c>
      <c r="C72" s="659" t="s">
        <v>868</v>
      </c>
      <c r="D72" s="660"/>
      <c r="E72" s="739">
        <f>SUM(E69:E71)</f>
        <v>217.90819444444443</v>
      </c>
      <c r="F72" s="636"/>
    </row>
    <row r="73" spans="2:8" ht="33" customHeight="1">
      <c r="B73" s="1103" t="s">
        <v>869</v>
      </c>
      <c r="C73" s="1104"/>
      <c r="D73" s="740"/>
      <c r="E73" s="741">
        <f>E17+E48+E56+E66+E72</f>
        <v>6327.3060345834183</v>
      </c>
      <c r="F73" s="636"/>
    </row>
    <row r="74" spans="2:8" ht="39" customHeight="1">
      <c r="B74" s="742" t="s">
        <v>15</v>
      </c>
      <c r="C74" s="1105"/>
      <c r="D74" s="1106"/>
      <c r="E74" s="1106"/>
      <c r="F74" s="636"/>
    </row>
    <row r="75" spans="2:8" ht="81.75" customHeight="1">
      <c r="B75" s="743" t="s">
        <v>870</v>
      </c>
      <c r="C75" s="1089" t="s">
        <v>871</v>
      </c>
      <c r="D75" s="1090"/>
      <c r="E75" s="1091"/>
      <c r="F75" s="636"/>
    </row>
    <row r="76" spans="2:8" ht="43.5" customHeight="1">
      <c r="B76" s="753" t="s">
        <v>872</v>
      </c>
      <c r="C76" s="1092" t="s">
        <v>1321</v>
      </c>
      <c r="D76" s="1093"/>
      <c r="E76" s="1094"/>
      <c r="F76" s="636"/>
    </row>
    <row r="77" spans="2:8" ht="40.5" customHeight="1">
      <c r="B77" s="743" t="s">
        <v>873</v>
      </c>
      <c r="C77" s="1089" t="s">
        <v>874</v>
      </c>
      <c r="D77" s="1090"/>
      <c r="E77" s="1091"/>
      <c r="F77" s="636"/>
    </row>
    <row r="78" spans="2:8" ht="51.75" customHeight="1">
      <c r="B78" s="744" t="s">
        <v>875</v>
      </c>
      <c r="C78" s="1089" t="s">
        <v>876</v>
      </c>
      <c r="D78" s="1090"/>
      <c r="E78" s="1091"/>
      <c r="F78" s="636"/>
    </row>
    <row r="79" spans="2:8" ht="33" customHeight="1">
      <c r="B79" s="745"/>
      <c r="C79" s="746"/>
      <c r="D79" s="747"/>
      <c r="E79" s="748"/>
      <c r="F79" s="636"/>
    </row>
    <row r="80" spans="2:8" ht="33" customHeight="1">
      <c r="B80" s="745"/>
      <c r="C80" s="746"/>
      <c r="D80" s="747"/>
      <c r="E80" s="748"/>
      <c r="F80" s="636"/>
    </row>
    <row r="81" spans="2:6" ht="33" customHeight="1">
      <c r="B81" s="745"/>
      <c r="C81" s="746"/>
      <c r="D81" s="747"/>
      <c r="E81" s="748"/>
      <c r="F81" s="636"/>
    </row>
    <row r="82" spans="2:6" ht="33" customHeight="1">
      <c r="B82" s="745"/>
      <c r="C82" s="746"/>
      <c r="D82" s="747"/>
      <c r="E82" s="748"/>
      <c r="F82" s="636"/>
    </row>
    <row r="83" spans="2:6" ht="33" customHeight="1">
      <c r="B83" s="745"/>
      <c r="C83" s="746"/>
      <c r="D83" s="747"/>
      <c r="E83" s="748"/>
      <c r="F83" s="636"/>
    </row>
    <row r="84" spans="2:6" ht="33" customHeight="1">
      <c r="B84" s="745"/>
      <c r="C84" s="746"/>
      <c r="D84" s="747"/>
      <c r="E84" s="748"/>
      <c r="F84" s="636"/>
    </row>
    <row r="85" spans="2:6" ht="33" customHeight="1">
      <c r="B85" s="745"/>
      <c r="C85" s="746"/>
      <c r="D85" s="747"/>
      <c r="E85" s="748"/>
      <c r="F85" s="636"/>
    </row>
    <row r="86" spans="2:6" ht="33" customHeight="1">
      <c r="B86" s="745"/>
      <c r="C86" s="746"/>
      <c r="D86" s="747"/>
      <c r="E86" s="748"/>
      <c r="F86" s="636"/>
    </row>
    <row r="87" spans="2:6" ht="33" customHeight="1">
      <c r="B87" s="745"/>
      <c r="C87" s="746"/>
      <c r="D87" s="747"/>
      <c r="E87" s="748"/>
      <c r="F87" s="63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K87"/>
  <sheetViews>
    <sheetView showGridLines="0" topLeftCell="A63" zoomScale="60" zoomScaleNormal="60" workbookViewId="0">
      <selection activeCell="B2" sqref="B2:E78"/>
    </sheetView>
  </sheetViews>
  <sheetFormatPr defaultColWidth="9.140625" defaultRowHeight="25.5"/>
  <cols>
    <col min="1" max="1" width="4.85546875" style="635" customWidth="1"/>
    <col min="2" max="2" width="11" style="749" customWidth="1"/>
    <col min="3" max="3" width="131.7109375" style="750" customWidth="1"/>
    <col min="4" max="4" width="28" style="751" customWidth="1"/>
    <col min="5" max="5" width="24.5703125" style="752" customWidth="1"/>
    <col min="6" max="6" width="6.140625" style="634" customWidth="1"/>
    <col min="7" max="7" width="9.140625" style="635"/>
    <col min="8" max="8" width="21.28515625" style="635" customWidth="1"/>
    <col min="9" max="10" width="9.140625" style="635"/>
    <col min="11" max="11" width="14.7109375" style="737" bestFit="1" customWidth="1"/>
    <col min="12" max="16384" width="9.140625" style="635"/>
  </cols>
  <sheetData>
    <row r="2" spans="2:6" ht="33.75" customHeight="1">
      <c r="B2" s="1095" t="str">
        <f>CONCATENATE("Planilha do Custo Direto da Mão de Obra - ", Áreas_edf_e_Descrição_postos!C18)</f>
        <v>Planilha do Custo Direto da Mão de Obra - Copeiro</v>
      </c>
      <c r="C2" s="1096"/>
      <c r="D2" s="1096"/>
      <c r="E2" s="1097"/>
    </row>
    <row r="3" spans="2:6" ht="33.75" customHeight="1">
      <c r="B3" s="1098" t="s">
        <v>1318</v>
      </c>
      <c r="C3" s="1098"/>
      <c r="D3" s="1098"/>
      <c r="E3" s="1098"/>
      <c r="F3" s="636"/>
    </row>
    <row r="4" spans="2:6" ht="35.25" customHeight="1">
      <c r="B4" s="637" t="s">
        <v>810</v>
      </c>
      <c r="C4" s="637" t="s">
        <v>811</v>
      </c>
      <c r="D4" s="638" t="s">
        <v>812</v>
      </c>
      <c r="E4" s="639" t="s">
        <v>813</v>
      </c>
      <c r="F4" s="636"/>
    </row>
    <row r="5" spans="2:6" ht="31.5" customHeight="1">
      <c r="B5" s="640">
        <v>1</v>
      </c>
      <c r="C5" s="641" t="s">
        <v>814</v>
      </c>
      <c r="D5" s="642"/>
      <c r="E5" s="643"/>
      <c r="F5" s="636"/>
    </row>
    <row r="6" spans="2:6" ht="30.75" customHeight="1">
      <c r="B6" s="754" t="s">
        <v>739</v>
      </c>
      <c r="C6" s="755" t="s">
        <v>815</v>
      </c>
      <c r="D6" s="756"/>
      <c r="E6" s="757">
        <f>Áreas_edf_e_Descrição_postos!F18</f>
        <v>2319.5500000000002</v>
      </c>
      <c r="F6" s="636"/>
    </row>
    <row r="7" spans="2:6" ht="27" customHeight="1">
      <c r="B7" s="644" t="s">
        <v>741</v>
      </c>
      <c r="C7" s="645" t="s">
        <v>816</v>
      </c>
      <c r="D7" s="646"/>
      <c r="E7" s="647"/>
      <c r="F7" s="636"/>
    </row>
    <row r="8" spans="2:6" ht="27" customHeight="1">
      <c r="B8" s="644"/>
      <c r="C8" s="648" t="s">
        <v>817</v>
      </c>
      <c r="D8" s="649"/>
      <c r="E8" s="647"/>
      <c r="F8" s="636"/>
    </row>
    <row r="9" spans="2:6" ht="27.75" customHeight="1">
      <c r="B9" s="644" t="s">
        <v>743</v>
      </c>
      <c r="C9" s="645" t="s">
        <v>818</v>
      </c>
      <c r="D9" s="650"/>
      <c r="E9" s="651"/>
      <c r="F9" s="636"/>
    </row>
    <row r="10" spans="2:6" ht="29.25" customHeight="1">
      <c r="B10" s="644" t="s">
        <v>745</v>
      </c>
      <c r="C10" s="645" t="s">
        <v>819</v>
      </c>
      <c r="D10" s="646"/>
      <c r="E10" s="647"/>
      <c r="F10" s="636"/>
    </row>
    <row r="11" spans="2:6" ht="29.25" customHeight="1">
      <c r="B11" s="644" t="s">
        <v>747</v>
      </c>
      <c r="C11" s="645" t="s">
        <v>820</v>
      </c>
      <c r="D11" s="646"/>
      <c r="E11" s="647"/>
      <c r="F11" s="636"/>
    </row>
    <row r="12" spans="2:6" ht="30.75" customHeight="1">
      <c r="B12" s="644" t="s">
        <v>749</v>
      </c>
      <c r="C12" s="645" t="s">
        <v>821</v>
      </c>
      <c r="D12" s="646"/>
      <c r="E12" s="647"/>
      <c r="F12" s="636"/>
    </row>
    <row r="13" spans="2:6" ht="33" customHeight="1">
      <c r="B13" s="1099" t="s">
        <v>822</v>
      </c>
      <c r="C13" s="1100"/>
      <c r="D13" s="652"/>
      <c r="E13" s="653">
        <f>SUM(E6:E12)</f>
        <v>2319.5500000000002</v>
      </c>
      <c r="F13" s="636"/>
    </row>
    <row r="14" spans="2:6" ht="33" customHeight="1">
      <c r="B14" s="654"/>
      <c r="C14" s="655" t="s">
        <v>823</v>
      </c>
      <c r="D14" s="646"/>
      <c r="E14" s="647"/>
      <c r="F14" s="636"/>
    </row>
    <row r="15" spans="2:6" ht="31.5" customHeight="1">
      <c r="B15" s="654" t="s">
        <v>751</v>
      </c>
      <c r="C15" s="656" t="s">
        <v>824</v>
      </c>
      <c r="D15" s="646"/>
      <c r="E15" s="657"/>
      <c r="F15" s="636"/>
    </row>
    <row r="16" spans="2:6" ht="31.5" customHeight="1">
      <c r="B16" s="654" t="s">
        <v>755</v>
      </c>
      <c r="C16" s="658" t="s">
        <v>825</v>
      </c>
      <c r="D16" s="646"/>
      <c r="E16" s="657"/>
      <c r="F16" s="636"/>
    </row>
    <row r="17" spans="2:8" ht="33.75" customHeight="1">
      <c r="B17" s="640">
        <v>1</v>
      </c>
      <c r="C17" s="659" t="s">
        <v>826</v>
      </c>
      <c r="D17" s="660"/>
      <c r="E17" s="661">
        <f>E13+E15</f>
        <v>2319.5500000000002</v>
      </c>
      <c r="F17" s="636"/>
    </row>
    <row r="18" spans="2:8" ht="33.75" customHeight="1">
      <c r="B18" s="640">
        <v>2</v>
      </c>
      <c r="C18" s="641" t="s">
        <v>827</v>
      </c>
      <c r="D18" s="642"/>
      <c r="E18" s="643"/>
      <c r="F18" s="636"/>
    </row>
    <row r="19" spans="2:8" ht="33.75" customHeight="1">
      <c r="B19" s="652"/>
      <c r="C19" s="662" t="s">
        <v>828</v>
      </c>
      <c r="D19" s="663"/>
      <c r="E19" s="664"/>
      <c r="F19" s="636"/>
    </row>
    <row r="20" spans="2:8" ht="33.75" customHeight="1">
      <c r="B20" s="665" t="s">
        <v>739</v>
      </c>
      <c r="C20" s="666" t="s">
        <v>829</v>
      </c>
      <c r="D20" s="667"/>
      <c r="E20" s="668">
        <f>'Escalas, VT e VA'!J19</f>
        <v>521.40000000000009</v>
      </c>
      <c r="F20" s="636"/>
    </row>
    <row r="21" spans="2:8" ht="33.75" customHeight="1">
      <c r="B21" s="665" t="s">
        <v>741</v>
      </c>
      <c r="C21" s="666" t="s">
        <v>830</v>
      </c>
      <c r="D21" s="667"/>
      <c r="E21" s="669">
        <f>ROUND(IF(ABS(-0.06*E6)&gt;E20,-1*E20,-6/100*E6),2)</f>
        <v>-139.16999999999999</v>
      </c>
      <c r="F21" s="636"/>
      <c r="H21" s="670"/>
    </row>
    <row r="22" spans="2:8" ht="33.75" customHeight="1">
      <c r="B22" s="665" t="s">
        <v>743</v>
      </c>
      <c r="C22" s="666" t="s">
        <v>707</v>
      </c>
      <c r="D22" s="667"/>
      <c r="E22" s="668">
        <f>'Escalas, VT e VA'!H30</f>
        <v>928.4</v>
      </c>
      <c r="F22" s="636"/>
    </row>
    <row r="23" spans="2:8" ht="33.75" customHeight="1">
      <c r="B23" s="665" t="s">
        <v>745</v>
      </c>
      <c r="C23" s="211" t="s">
        <v>831</v>
      </c>
      <c r="D23" s="667"/>
      <c r="E23" s="668">
        <v>187.18</v>
      </c>
      <c r="F23" s="636"/>
    </row>
    <row r="24" spans="2:8" ht="33.75" customHeight="1">
      <c r="B24" s="665" t="s">
        <v>747</v>
      </c>
      <c r="C24" s="211" t="s">
        <v>832</v>
      </c>
      <c r="D24" s="667"/>
      <c r="E24" s="668">
        <v>3.3</v>
      </c>
      <c r="F24" s="636"/>
    </row>
    <row r="25" spans="2:8" ht="33.75" customHeight="1">
      <c r="B25" s="665" t="s">
        <v>749</v>
      </c>
      <c r="C25" s="211" t="s">
        <v>833</v>
      </c>
      <c r="D25" s="667"/>
      <c r="E25" s="671">
        <v>12.81</v>
      </c>
      <c r="F25" s="636"/>
    </row>
    <row r="26" spans="2:8" ht="33.75" customHeight="1">
      <c r="B26" s="665" t="s">
        <v>751</v>
      </c>
      <c r="C26" s="211" t="s">
        <v>834</v>
      </c>
      <c r="D26" s="667"/>
      <c r="E26" s="671">
        <f>14/12*0.5</f>
        <v>0.58333333333333337</v>
      </c>
      <c r="F26" s="636"/>
    </row>
    <row r="27" spans="2:8" ht="33.75" customHeight="1">
      <c r="B27" s="672"/>
      <c r="C27" s="673" t="s">
        <v>835</v>
      </c>
      <c r="D27" s="674"/>
      <c r="E27" s="675">
        <f>SUM(E20:E26)</f>
        <v>1514.5033333333333</v>
      </c>
      <c r="F27" s="636"/>
    </row>
    <row r="28" spans="2:8" ht="33.75" customHeight="1">
      <c r="B28" s="676"/>
      <c r="C28" s="662" t="s">
        <v>836</v>
      </c>
      <c r="D28" s="677"/>
      <c r="E28" s="678"/>
      <c r="F28" s="636"/>
    </row>
    <row r="29" spans="2:8" ht="33.75" customHeight="1">
      <c r="B29" s="679" t="s">
        <v>739</v>
      </c>
      <c r="C29" s="680" t="s">
        <v>837</v>
      </c>
      <c r="D29" s="667">
        <v>0.2</v>
      </c>
      <c r="E29" s="668">
        <f>D29*$E$13</f>
        <v>463.91000000000008</v>
      </c>
      <c r="F29" s="636"/>
    </row>
    <row r="30" spans="2:8" ht="51.75" customHeight="1">
      <c r="B30" s="679" t="s">
        <v>741</v>
      </c>
      <c r="C30" s="680" t="s">
        <v>838</v>
      </c>
      <c r="D30" s="681">
        <v>1.4999999999999999E-2</v>
      </c>
      <c r="E30" s="668">
        <f t="shared" ref="E30:E36" si="0">D30*$E$13</f>
        <v>34.79325</v>
      </c>
      <c r="F30" s="636"/>
    </row>
    <row r="31" spans="2:8" ht="51" customHeight="1">
      <c r="B31" s="679" t="s">
        <v>743</v>
      </c>
      <c r="C31" s="682" t="s">
        <v>1319</v>
      </c>
      <c r="D31" s="681">
        <v>0.01</v>
      </c>
      <c r="E31" s="668">
        <f t="shared" si="0"/>
        <v>23.195500000000003</v>
      </c>
      <c r="F31" s="636"/>
    </row>
    <row r="32" spans="2:8" ht="33.75" customHeight="1">
      <c r="B32" s="679" t="s">
        <v>745</v>
      </c>
      <c r="C32" s="680" t="s">
        <v>839</v>
      </c>
      <c r="D32" s="681">
        <v>2E-3</v>
      </c>
      <c r="E32" s="668">
        <f t="shared" si="0"/>
        <v>4.6391000000000009</v>
      </c>
      <c r="F32" s="636"/>
    </row>
    <row r="33" spans="2:6" ht="33.75" customHeight="1">
      <c r="B33" s="679" t="s">
        <v>747</v>
      </c>
      <c r="C33" s="680" t="s">
        <v>840</v>
      </c>
      <c r="D33" s="681">
        <v>2.5000000000000001E-2</v>
      </c>
      <c r="E33" s="668">
        <f t="shared" si="0"/>
        <v>57.98875000000001</v>
      </c>
      <c r="F33" s="636"/>
    </row>
    <row r="34" spans="2:6" ht="33.75" customHeight="1">
      <c r="B34" s="683" t="s">
        <v>749</v>
      </c>
      <c r="C34" s="684" t="s">
        <v>841</v>
      </c>
      <c r="D34" s="685">
        <v>0.08</v>
      </c>
      <c r="E34" s="668">
        <f t="shared" si="0"/>
        <v>185.56400000000002</v>
      </c>
      <c r="F34" s="636"/>
    </row>
    <row r="35" spans="2:6" ht="33.75" customHeight="1">
      <c r="B35" s="679" t="s">
        <v>751</v>
      </c>
      <c r="C35" s="680" t="s">
        <v>842</v>
      </c>
      <c r="D35" s="681">
        <f>3%*1</f>
        <v>0.03</v>
      </c>
      <c r="E35" s="668">
        <f t="shared" si="0"/>
        <v>69.586500000000001</v>
      </c>
      <c r="F35" s="636"/>
    </row>
    <row r="36" spans="2:6" ht="33.75" customHeight="1">
      <c r="B36" s="679" t="s">
        <v>755</v>
      </c>
      <c r="C36" s="680" t="s">
        <v>843</v>
      </c>
      <c r="D36" s="685">
        <v>6.0000000000000001E-3</v>
      </c>
      <c r="E36" s="668">
        <f t="shared" si="0"/>
        <v>13.917300000000001</v>
      </c>
      <c r="F36" s="636"/>
    </row>
    <row r="37" spans="2:6" ht="33.75" customHeight="1">
      <c r="B37" s="686"/>
      <c r="C37" s="673" t="s">
        <v>844</v>
      </c>
      <c r="D37" s="674">
        <f>SUM(D29:D36)</f>
        <v>0.3680000000000001</v>
      </c>
      <c r="E37" s="675">
        <f>SUM(E29:E36)</f>
        <v>853.59439999999995</v>
      </c>
      <c r="F37" s="636"/>
    </row>
    <row r="38" spans="2:6" ht="33.75" customHeight="1">
      <c r="B38" s="676"/>
      <c r="C38" s="662" t="s">
        <v>845</v>
      </c>
      <c r="D38" s="677"/>
      <c r="E38" s="687"/>
      <c r="F38" s="636"/>
    </row>
    <row r="39" spans="2:6" ht="33.75" customHeight="1">
      <c r="B39" s="644" t="s">
        <v>739</v>
      </c>
      <c r="C39" s="688" t="s">
        <v>759</v>
      </c>
      <c r="D39" s="646">
        <f>1/12</f>
        <v>8.3333333333333329E-2</v>
      </c>
      <c r="E39" s="647">
        <f>D39*$E$13</f>
        <v>193.29583333333335</v>
      </c>
      <c r="F39" s="636"/>
    </row>
    <row r="40" spans="2:6" ht="33.75" customHeight="1" thickBot="1">
      <c r="B40" s="689" t="s">
        <v>741</v>
      </c>
      <c r="C40" s="690" t="s">
        <v>762</v>
      </c>
      <c r="D40" s="691">
        <f>1/3*1/12</f>
        <v>2.7777777777777776E-2</v>
      </c>
      <c r="E40" s="647">
        <f>D40*$E$13</f>
        <v>64.43194444444444</v>
      </c>
      <c r="F40" s="636"/>
    </row>
    <row r="41" spans="2:6" ht="33.75" customHeight="1" thickBot="1">
      <c r="B41" s="692" t="s">
        <v>743</v>
      </c>
      <c r="C41" s="693" t="s">
        <v>846</v>
      </c>
      <c r="D41" s="694">
        <f>D37*(D39+D40)</f>
        <v>4.0888888888888898E-2</v>
      </c>
      <c r="E41" s="695">
        <f>D41*E13</f>
        <v>94.843822222222258</v>
      </c>
      <c r="F41" s="636"/>
    </row>
    <row r="42" spans="2:6" ht="33.75" customHeight="1">
      <c r="B42" s="212" t="s">
        <v>745</v>
      </c>
      <c r="C42" s="213" t="s">
        <v>768</v>
      </c>
      <c r="D42" s="214">
        <f>8/100*40/100*(D39+D40)</f>
        <v>3.5555555555555553E-3</v>
      </c>
      <c r="E42" s="696">
        <f>D42*E13</f>
        <v>8.2472888888888889</v>
      </c>
      <c r="F42" s="636"/>
    </row>
    <row r="43" spans="2:6" ht="31.5" customHeight="1">
      <c r="B43" s="686"/>
      <c r="C43" s="673" t="s">
        <v>847</v>
      </c>
      <c r="D43" s="674">
        <f>SUM(D39:D42)</f>
        <v>0.15555555555555556</v>
      </c>
      <c r="E43" s="675">
        <f>SUM(E39:E42)</f>
        <v>360.81888888888886</v>
      </c>
      <c r="F43" s="636"/>
    </row>
    <row r="44" spans="2:6" ht="33.75" customHeight="1">
      <c r="B44" s="686"/>
      <c r="C44" s="672" t="s">
        <v>848</v>
      </c>
      <c r="D44" s="677"/>
      <c r="E44" s="678"/>
      <c r="F44" s="636"/>
    </row>
    <row r="45" spans="2:6" ht="33.75" customHeight="1" thickBot="1">
      <c r="B45" s="697" t="s">
        <v>739</v>
      </c>
      <c r="C45" s="698" t="s">
        <v>849</v>
      </c>
      <c r="D45" s="699">
        <f>(1+1/3)/12*2/100*4/12</f>
        <v>7.407407407407407E-4</v>
      </c>
      <c r="E45" s="700">
        <f>D45*E13</f>
        <v>1.7181851851851853</v>
      </c>
      <c r="F45" s="636"/>
    </row>
    <row r="46" spans="2:6" ht="33" customHeight="1" thickBot="1">
      <c r="B46" s="701" t="s">
        <v>741</v>
      </c>
      <c r="C46" s="702" t="s">
        <v>850</v>
      </c>
      <c r="D46" s="703">
        <f>D37*D45</f>
        <v>2.7259259259259267E-4</v>
      </c>
      <c r="E46" s="704">
        <f>D46*E13</f>
        <v>0.63229214814814838</v>
      </c>
      <c r="F46" s="636"/>
    </row>
    <row r="47" spans="2:6" ht="34.5" customHeight="1">
      <c r="B47" s="705"/>
      <c r="C47" s="706" t="s">
        <v>851</v>
      </c>
      <c r="D47" s="707">
        <f>SUM(D45:D46)</f>
        <v>1.0133333333333333E-3</v>
      </c>
      <c r="E47" s="708">
        <f>E45+E46</f>
        <v>2.3504773333333335</v>
      </c>
      <c r="F47" s="636"/>
    </row>
    <row r="48" spans="2:6" ht="39.75" customHeight="1">
      <c r="B48" s="640">
        <v>2</v>
      </c>
      <c r="C48" s="659" t="s">
        <v>852</v>
      </c>
      <c r="D48" s="660"/>
      <c r="E48" s="661">
        <f>E27+E37+E43+E47</f>
        <v>2731.2670995555554</v>
      </c>
      <c r="F48" s="636"/>
    </row>
    <row r="49" spans="2:6" ht="33" customHeight="1">
      <c r="B49" s="640">
        <v>3</v>
      </c>
      <c r="C49" s="641" t="s">
        <v>853</v>
      </c>
      <c r="D49" s="642"/>
      <c r="E49" s="643"/>
      <c r="F49" s="636"/>
    </row>
    <row r="50" spans="2:6" ht="39" customHeight="1">
      <c r="B50" s="644" t="s">
        <v>739</v>
      </c>
      <c r="C50" s="688" t="s">
        <v>777</v>
      </c>
      <c r="D50" s="646">
        <f>1/12*3.5/100</f>
        <v>2.9166666666666664E-3</v>
      </c>
      <c r="E50" s="647">
        <f>D50*E13</f>
        <v>6.7653541666666666</v>
      </c>
      <c r="F50" s="636"/>
    </row>
    <row r="51" spans="2:6" ht="39" customHeight="1" thickBot="1">
      <c r="B51" s="709" t="s">
        <v>741</v>
      </c>
      <c r="C51" s="710" t="s">
        <v>780</v>
      </c>
      <c r="D51" s="711">
        <f>3.5/100*1/12*(1/12+(1+1/3)/12)</f>
        <v>5.6712962962962956E-4</v>
      </c>
      <c r="E51" s="647">
        <f>D51*E13</f>
        <v>1.3154855324074073</v>
      </c>
      <c r="F51" s="636"/>
    </row>
    <row r="52" spans="2:6" ht="35.25" customHeight="1" thickBot="1">
      <c r="B52" s="692" t="s">
        <v>743</v>
      </c>
      <c r="C52" s="712" t="s">
        <v>1320</v>
      </c>
      <c r="D52" s="713">
        <f>(D37-D34)*1/12*D50</f>
        <v>7.0000000000000021E-5</v>
      </c>
      <c r="E52" s="695">
        <f>D52*E13</f>
        <v>0.16236850000000005</v>
      </c>
      <c r="F52" s="636"/>
    </row>
    <row r="53" spans="2:6" ht="31.5" customHeight="1">
      <c r="B53" s="714" t="s">
        <v>745</v>
      </c>
      <c r="C53" s="715" t="s">
        <v>854</v>
      </c>
      <c r="D53" s="716">
        <f>8/100*(D50+D51)</f>
        <v>2.787037037037037E-4</v>
      </c>
      <c r="E53" s="696">
        <f>D53*E13</f>
        <v>0.64646717592592595</v>
      </c>
      <c r="F53" s="636"/>
    </row>
    <row r="54" spans="2:6" ht="31.5" customHeight="1">
      <c r="B54" s="644" t="s">
        <v>747</v>
      </c>
      <c r="C54" s="645" t="s">
        <v>855</v>
      </c>
      <c r="D54" s="691">
        <f>8/100*40/100</f>
        <v>3.2000000000000001E-2</v>
      </c>
      <c r="E54" s="647">
        <f>D54*E13</f>
        <v>74.225600000000014</v>
      </c>
      <c r="F54" s="636"/>
    </row>
    <row r="55" spans="2:6" ht="29.25" customHeight="1">
      <c r="B55" s="679" t="s">
        <v>749</v>
      </c>
      <c r="C55" s="680" t="s">
        <v>856</v>
      </c>
      <c r="D55" s="691">
        <f>1/12*1/100</f>
        <v>8.3333333333333328E-4</v>
      </c>
      <c r="E55" s="647">
        <f>D55*E13</f>
        <v>1.9329583333333333</v>
      </c>
      <c r="F55" s="636"/>
    </row>
    <row r="56" spans="2:6" ht="32.25" customHeight="1">
      <c r="B56" s="640">
        <v>3</v>
      </c>
      <c r="C56" s="717" t="s">
        <v>857</v>
      </c>
      <c r="D56" s="718">
        <f>SUM(D50:D55)</f>
        <v>3.6665833333333335E-2</v>
      </c>
      <c r="E56" s="719">
        <f>SUM(E50:E55)</f>
        <v>85.048233708333342</v>
      </c>
      <c r="F56" s="636"/>
    </row>
    <row r="57" spans="2:6" ht="33" customHeight="1">
      <c r="B57" s="640">
        <v>4</v>
      </c>
      <c r="C57" s="641" t="s">
        <v>858</v>
      </c>
      <c r="D57" s="642"/>
      <c r="E57" s="643"/>
      <c r="F57" s="636"/>
    </row>
    <row r="58" spans="2:6" ht="33" customHeight="1">
      <c r="B58" s="679" t="s">
        <v>739</v>
      </c>
      <c r="C58" s="720" t="s">
        <v>789</v>
      </c>
      <c r="D58" s="667">
        <f>1/12</f>
        <v>8.3333333333333329E-2</v>
      </c>
      <c r="E58" s="668">
        <f>D58*$E$13</f>
        <v>193.29583333333335</v>
      </c>
      <c r="F58" s="636"/>
    </row>
    <row r="59" spans="2:6" ht="30.75" customHeight="1">
      <c r="B59" s="679" t="s">
        <v>741</v>
      </c>
      <c r="C59" s="721" t="s">
        <v>859</v>
      </c>
      <c r="D59" s="667">
        <f>5/30*1/12*1.5/100</f>
        <v>2.0833333333333332E-4</v>
      </c>
      <c r="E59" s="668">
        <f t="shared" ref="E59:E61" si="1">D59*$E$13</f>
        <v>0.48323958333333333</v>
      </c>
      <c r="F59" s="636"/>
    </row>
    <row r="60" spans="2:6" ht="35.25" customHeight="1">
      <c r="B60" s="679" t="s">
        <v>743</v>
      </c>
      <c r="C60" s="721" t="s">
        <v>792</v>
      </c>
      <c r="D60" s="667">
        <f>1/30*1/12</f>
        <v>2.7777777777777779E-3</v>
      </c>
      <c r="E60" s="668">
        <f t="shared" si="1"/>
        <v>6.4431944444444449</v>
      </c>
      <c r="F60" s="636"/>
    </row>
    <row r="61" spans="2:6" ht="29.25" customHeight="1" thickBot="1">
      <c r="B61" s="697" t="s">
        <v>745</v>
      </c>
      <c r="C61" s="722" t="s">
        <v>793</v>
      </c>
      <c r="D61" s="699">
        <f>7/30*1/12*5/100</f>
        <v>9.7222222222222219E-4</v>
      </c>
      <c r="E61" s="668">
        <f t="shared" si="1"/>
        <v>2.2551180555555557</v>
      </c>
      <c r="F61" s="723"/>
    </row>
    <row r="62" spans="2:6" ht="36" customHeight="1" thickBot="1">
      <c r="B62" s="701" t="s">
        <v>747</v>
      </c>
      <c r="C62" s="724" t="s">
        <v>795</v>
      </c>
      <c r="D62" s="694">
        <f>D37*SUM(D58:D61)</f>
        <v>3.2123333333333344E-2</v>
      </c>
      <c r="E62" s="704">
        <f>D62*E13</f>
        <v>74.511677833333366</v>
      </c>
      <c r="F62" s="636"/>
    </row>
    <row r="63" spans="2:6" ht="39" customHeight="1">
      <c r="B63" s="725" t="s">
        <v>749</v>
      </c>
      <c r="C63" s="726" t="s">
        <v>860</v>
      </c>
      <c r="D63" s="727">
        <f>4.14/30*1/12</f>
        <v>1.1499999999999998E-2</v>
      </c>
      <c r="E63" s="728">
        <f>D63*E13</f>
        <v>26.674824999999998</v>
      </c>
      <c r="F63" s="729"/>
    </row>
    <row r="64" spans="2:6" ht="38.25" customHeight="1" thickBot="1">
      <c r="B64" s="697" t="s">
        <v>751</v>
      </c>
      <c r="C64" s="730" t="s">
        <v>797</v>
      </c>
      <c r="D64" s="699">
        <f>15/30*1/12*8/100</f>
        <v>3.3333333333333331E-3</v>
      </c>
      <c r="E64" s="700">
        <f>D64*E13</f>
        <v>7.7318333333333333</v>
      </c>
      <c r="F64" s="636"/>
    </row>
    <row r="65" spans="2:8" ht="37.5" customHeight="1" thickBot="1">
      <c r="B65" s="701" t="s">
        <v>755</v>
      </c>
      <c r="C65" s="724" t="s">
        <v>861</v>
      </c>
      <c r="D65" s="703">
        <f>(D43+D47+D56)*(D58+D59+D60+D61+D63+D64)</f>
        <v>1.9734096006944445E-2</v>
      </c>
      <c r="E65" s="704">
        <f>D65*E13</f>
        <v>45.774222392907987</v>
      </c>
      <c r="F65" s="636"/>
    </row>
    <row r="66" spans="2:8" ht="36" customHeight="1">
      <c r="B66" s="731">
        <v>4</v>
      </c>
      <c r="C66" s="732" t="s">
        <v>862</v>
      </c>
      <c r="D66" s="733">
        <f>SUM(D58:D65)</f>
        <v>0.15398242934027781</v>
      </c>
      <c r="E66" s="734">
        <f>SUM(E58:E65)</f>
        <v>357.16994397624137</v>
      </c>
      <c r="F66" s="636"/>
    </row>
    <row r="67" spans="2:8" ht="36" customHeight="1">
      <c r="B67" s="1101" t="s">
        <v>863</v>
      </c>
      <c r="C67" s="1102"/>
      <c r="D67" s="735">
        <f>D37+D43+D47+D56+D66</f>
        <v>0.7152171515625001</v>
      </c>
      <c r="E67" s="736">
        <f>E37+E43+E47+E56+E66</f>
        <v>1658.9819439067969</v>
      </c>
      <c r="F67" s="636"/>
      <c r="H67" s="737"/>
    </row>
    <row r="68" spans="2:8" ht="36.75" customHeight="1">
      <c r="B68" s="640">
        <v>5</v>
      </c>
      <c r="C68" s="641" t="s">
        <v>864</v>
      </c>
      <c r="D68" s="642"/>
      <c r="E68" s="643"/>
      <c r="F68" s="636"/>
    </row>
    <row r="69" spans="2:8" ht="32.25" customHeight="1">
      <c r="B69" s="679" t="s">
        <v>739</v>
      </c>
      <c r="C69" s="680" t="s">
        <v>865</v>
      </c>
      <c r="D69" s="667"/>
      <c r="E69" s="215">
        <f>Uniformes_Equipe!I67</f>
        <v>230.21111111111111</v>
      </c>
      <c r="F69" s="636"/>
    </row>
    <row r="70" spans="2:8" ht="28.5" customHeight="1">
      <c r="B70" s="679" t="s">
        <v>741</v>
      </c>
      <c r="C70" s="680" t="s">
        <v>866</v>
      </c>
      <c r="D70" s="738"/>
      <c r="E70" s="668"/>
      <c r="F70" s="636"/>
    </row>
    <row r="71" spans="2:8" ht="30" customHeight="1">
      <c r="B71" s="679" t="s">
        <v>743</v>
      </c>
      <c r="C71" s="680" t="s">
        <v>867</v>
      </c>
      <c r="D71" s="738"/>
      <c r="E71" s="668"/>
      <c r="F71" s="636"/>
    </row>
    <row r="72" spans="2:8" ht="32.25" customHeight="1">
      <c r="B72" s="640">
        <v>5</v>
      </c>
      <c r="C72" s="659" t="s">
        <v>868</v>
      </c>
      <c r="D72" s="660"/>
      <c r="E72" s="739">
        <f>SUM(E69:E71)</f>
        <v>230.21111111111111</v>
      </c>
      <c r="F72" s="636"/>
    </row>
    <row r="73" spans="2:8" ht="33" customHeight="1">
      <c r="B73" s="1103" t="s">
        <v>869</v>
      </c>
      <c r="C73" s="1104"/>
      <c r="D73" s="740"/>
      <c r="E73" s="741">
        <f>E17+E48+E56+E66+E72</f>
        <v>5723.246388351241</v>
      </c>
      <c r="F73" s="636"/>
    </row>
    <row r="74" spans="2:8" ht="39" customHeight="1">
      <c r="B74" s="742" t="s">
        <v>15</v>
      </c>
      <c r="C74" s="1105"/>
      <c r="D74" s="1106"/>
      <c r="E74" s="1106"/>
      <c r="F74" s="636"/>
    </row>
    <row r="75" spans="2:8" ht="81.75" customHeight="1">
      <c r="B75" s="743" t="s">
        <v>870</v>
      </c>
      <c r="C75" s="1089" t="s">
        <v>871</v>
      </c>
      <c r="D75" s="1090"/>
      <c r="E75" s="1091"/>
      <c r="F75" s="636"/>
    </row>
    <row r="76" spans="2:8" ht="43.5" customHeight="1">
      <c r="B76" s="753" t="s">
        <v>872</v>
      </c>
      <c r="C76" s="1092" t="s">
        <v>1321</v>
      </c>
      <c r="D76" s="1093"/>
      <c r="E76" s="1094"/>
      <c r="F76" s="636"/>
    </row>
    <row r="77" spans="2:8" ht="40.5" customHeight="1">
      <c r="B77" s="743" t="s">
        <v>873</v>
      </c>
      <c r="C77" s="1089" t="s">
        <v>874</v>
      </c>
      <c r="D77" s="1090"/>
      <c r="E77" s="1091"/>
      <c r="F77" s="636"/>
    </row>
    <row r="78" spans="2:8" ht="51.75" customHeight="1">
      <c r="B78" s="744" t="s">
        <v>875</v>
      </c>
      <c r="C78" s="1089" t="s">
        <v>876</v>
      </c>
      <c r="D78" s="1090"/>
      <c r="E78" s="1091"/>
      <c r="F78" s="636"/>
    </row>
    <row r="79" spans="2:8" ht="33" customHeight="1">
      <c r="B79" s="745"/>
      <c r="C79" s="746"/>
      <c r="D79" s="747"/>
      <c r="E79" s="748"/>
      <c r="F79" s="636"/>
    </row>
    <row r="80" spans="2:8" ht="33" customHeight="1">
      <c r="B80" s="745"/>
      <c r="C80" s="746"/>
      <c r="D80" s="747"/>
      <c r="E80" s="748"/>
      <c r="F80" s="636"/>
    </row>
    <row r="81" spans="2:6" ht="33" customHeight="1">
      <c r="B81" s="745"/>
      <c r="C81" s="746"/>
      <c r="D81" s="747"/>
      <c r="E81" s="748"/>
      <c r="F81" s="636"/>
    </row>
    <row r="82" spans="2:6" ht="33" customHeight="1">
      <c r="B82" s="745"/>
      <c r="C82" s="746"/>
      <c r="D82" s="747"/>
      <c r="E82" s="748"/>
      <c r="F82" s="636"/>
    </row>
    <row r="83" spans="2:6" ht="33" customHeight="1">
      <c r="B83" s="745"/>
      <c r="C83" s="746"/>
      <c r="D83" s="747"/>
      <c r="E83" s="748"/>
      <c r="F83" s="636"/>
    </row>
    <row r="84" spans="2:6" ht="33" customHeight="1">
      <c r="B84" s="745"/>
      <c r="C84" s="746"/>
      <c r="D84" s="747"/>
      <c r="E84" s="748"/>
      <c r="F84" s="636"/>
    </row>
    <row r="85" spans="2:6" ht="33" customHeight="1">
      <c r="B85" s="745"/>
      <c r="C85" s="746"/>
      <c r="D85" s="747"/>
      <c r="E85" s="748"/>
      <c r="F85" s="636"/>
    </row>
    <row r="86" spans="2:6" ht="33" customHeight="1">
      <c r="B86" s="745"/>
      <c r="C86" s="746"/>
      <c r="D86" s="747"/>
      <c r="E86" s="748"/>
      <c r="F86" s="636"/>
    </row>
    <row r="87" spans="2:6" ht="33" customHeight="1">
      <c r="B87" s="745"/>
      <c r="C87" s="746"/>
      <c r="D87" s="747"/>
      <c r="E87" s="748"/>
      <c r="F87" s="63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AB54B96A9EBBE47BC479647DCB38FA8" ma:contentTypeVersion="15" ma:contentTypeDescription="Crie um novo documento." ma:contentTypeScope="" ma:versionID="0ece75f4286cf6eb97c31a01e2804c79">
  <xsd:schema xmlns:xsd="http://www.w3.org/2001/XMLSchema" xmlns:xs="http://www.w3.org/2001/XMLSchema" xmlns:p="http://schemas.microsoft.com/office/2006/metadata/properties" xmlns:ns2="b11eb5c2-f216-426b-b97f-1b2556847d31" xmlns:ns3="5e75ea4f-23af-4a3c-ab4c-fdd2fe916c71" targetNamespace="http://schemas.microsoft.com/office/2006/metadata/properties" ma:root="true" ma:fieldsID="211c61e9d4cecc247d338375f08a9fc5" ns2:_="" ns3:_="">
    <xsd:import namespace="b11eb5c2-f216-426b-b97f-1b2556847d31"/>
    <xsd:import namespace="5e75ea4f-23af-4a3c-ab4c-fdd2fe916c7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1eb5c2-f216-426b-b97f-1b2556847d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Marcações de imagem" ma:readOnly="false" ma:fieldId="{5cf76f15-5ced-4ddc-b409-7134ff3c332f}" ma:taxonomyMulti="true" ma:sspId="50763be7-2c5e-4ee0-a9d0-09b2389b878d"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e75ea4f-23af-4a3c-ab4c-fdd2fe916c71"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18" nillable="true" ma:displayName="Taxonomy Catch All Column" ma:hidden="true" ma:list="{7c38b70c-cd02-4198-9c72-ed61757cafb4}" ma:internalName="TaxCatchAll" ma:showField="CatchAllData" ma:web="5e75ea4f-23af-4a3c-ab4c-fdd2fe916c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e75ea4f-23af-4a3c-ab4c-fdd2fe916c71" xsi:nil="true"/>
    <lcf76f155ced4ddcb4097134ff3c332f xmlns="b11eb5c2-f216-426b-b97f-1b2556847d3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557E58-3B45-414E-A9B2-D74C7D5EC3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1eb5c2-f216-426b-b97f-1b2556847d31"/>
    <ds:schemaRef ds:uri="5e75ea4f-23af-4a3c-ab4c-fdd2fe916c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1E10C1B-2766-42EF-95C4-D08B6AAC76D8}">
  <ds:schemaRefs>
    <ds:schemaRef ds:uri="http://www.w3.org/XML/1998/namespace"/>
    <ds:schemaRef ds:uri="http://purl.org/dc/dcmitype/"/>
    <ds:schemaRef ds:uri="http://schemas.microsoft.com/office/2006/documentManagement/types"/>
    <ds:schemaRef ds:uri="b11eb5c2-f216-426b-b97f-1b2556847d31"/>
    <ds:schemaRef ds:uri="http://schemas.openxmlformats.org/package/2006/metadata/core-properties"/>
    <ds:schemaRef ds:uri="http://schemas.microsoft.com/office/2006/metadata/properties"/>
    <ds:schemaRef ds:uri="http://purl.org/dc/terms/"/>
    <ds:schemaRef ds:uri="http://schemas.microsoft.com/office/infopath/2007/PartnerControls"/>
    <ds:schemaRef ds:uri="5e75ea4f-23af-4a3c-ab4c-fdd2fe916c71"/>
    <ds:schemaRef ds:uri="http://purl.org/dc/elements/1.1/"/>
  </ds:schemaRefs>
</ds:datastoreItem>
</file>

<file path=customXml/itemProps3.xml><?xml version="1.0" encoding="utf-8"?>
<ds:datastoreItem xmlns:ds="http://schemas.openxmlformats.org/officeDocument/2006/customXml" ds:itemID="{DF02CFFE-3793-4652-BCB5-4AD9CDC6A75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24</vt:i4>
      </vt:variant>
      <vt:variant>
        <vt:lpstr>Intervalos nomeados</vt:lpstr>
      </vt:variant>
      <vt:variant>
        <vt:i4>21</vt:i4>
      </vt:variant>
    </vt:vector>
  </HeadingPairs>
  <TitlesOfParts>
    <vt:vector size="45" baseType="lpstr">
      <vt:lpstr>Áreas_edf_e_Descrição_postos</vt:lpstr>
      <vt:lpstr>Linhas-Empresas-Tarifas_2024</vt:lpstr>
      <vt:lpstr>Escalas, VT e VA</vt:lpstr>
      <vt:lpstr>Materiais de consumo</vt:lpstr>
      <vt:lpstr>Uniformes_Equipe</vt:lpstr>
      <vt:lpstr>Encargos Sociais</vt:lpstr>
      <vt:lpstr>1_Supervisor</vt:lpstr>
      <vt:lpstr>2_Garçon</vt:lpstr>
      <vt:lpstr>3_Copeiro</vt:lpstr>
      <vt:lpstr>Conta Vinculada</vt:lpstr>
      <vt:lpstr>RESUMO_Preços</vt:lpstr>
      <vt:lpstr>Comparativos</vt:lpstr>
      <vt:lpstr>RP_e_CA_Lucro_Presumido</vt:lpstr>
      <vt:lpstr>Comparativo</vt:lpstr>
      <vt:lpstr>PIS_E_Cofins_em_Branco</vt:lpstr>
      <vt:lpstr>MD_Uniformes_Equipe </vt:lpstr>
      <vt:lpstr>MD_Materiais de consumo</vt:lpstr>
      <vt:lpstr>MD_Supervisor</vt:lpstr>
      <vt:lpstr>MD_Garçon</vt:lpstr>
      <vt:lpstr>MD_Copeiro</vt:lpstr>
      <vt:lpstr>MD_Conta_Vinculada</vt:lpstr>
      <vt:lpstr>MD_RESUMO_Preços</vt:lpstr>
      <vt:lpstr>Exemplo_Conf_PIS_E_Cofins_LP</vt:lpstr>
      <vt:lpstr>Exemplo_Preenchimento_PIS_e_Co</vt:lpstr>
      <vt:lpstr>'1_Supervisor'!Area_de_impressao</vt:lpstr>
      <vt:lpstr>'2_Garçon'!Area_de_impressao</vt:lpstr>
      <vt:lpstr>'3_Copeiro'!Area_de_impressao</vt:lpstr>
      <vt:lpstr>Áreas_edf_e_Descrição_postos!Area_de_impressao</vt:lpstr>
      <vt:lpstr>Comparativo!Area_de_impressao</vt:lpstr>
      <vt:lpstr>Comparativos!Area_de_impressao</vt:lpstr>
      <vt:lpstr>'Conta Vinculada'!Area_de_impressao</vt:lpstr>
      <vt:lpstr>'Encargos Sociais'!Area_de_impressao</vt:lpstr>
      <vt:lpstr>'Escalas, VT e VA'!Area_de_impressao</vt:lpstr>
      <vt:lpstr>Exemplo_Conf_PIS_E_Cofins_LP!Area_de_impressao</vt:lpstr>
      <vt:lpstr>Exemplo_Preenchimento_PIS_e_Co!Area_de_impressao</vt:lpstr>
      <vt:lpstr>MD_Conta_Vinculada!Area_de_impressao</vt:lpstr>
      <vt:lpstr>MD_Copeiro!Area_de_impressao</vt:lpstr>
      <vt:lpstr>MD_Garçon!Area_de_impressao</vt:lpstr>
      <vt:lpstr>MD_RESUMO_Preços!Area_de_impressao</vt:lpstr>
      <vt:lpstr>MD_Supervisor!Area_de_impressao</vt:lpstr>
      <vt:lpstr>'MD_Uniformes_Equipe '!Area_de_impressao</vt:lpstr>
      <vt:lpstr>PIS_E_Cofins_em_Branco!Area_de_impressao</vt:lpstr>
      <vt:lpstr>RESUMO_Preços!Area_de_impressao</vt:lpstr>
      <vt:lpstr>RP_e_CA_Lucro_Presumido!Area_de_impressao</vt:lpstr>
      <vt:lpstr>Uniformes_Equipe!Area_de_impressao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nery</dc:creator>
  <cp:keywords/>
  <dc:description/>
  <cp:lastModifiedBy>Pessoal</cp:lastModifiedBy>
  <cp:revision>1</cp:revision>
  <cp:lastPrinted>2024-09-24T00:59:11Z</cp:lastPrinted>
  <dcterms:created xsi:type="dcterms:W3CDTF">2007-01-18T17:42:00Z</dcterms:created>
  <dcterms:modified xsi:type="dcterms:W3CDTF">2024-10-17T21:30:53Z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0x010100FAB54B96A9EBBE47BC479647DCB38FA8</vt:lpwstr>
  </property>
  <property fmtid="{D5CDD505-2E9C-101B-9397-08002B2CF9AE}" pid="3" name="MediaServiceImageTags">
    <vt:lpwstr/>
  </property>
  <property fmtid="{D5CDD505-2E9C-101B-9397-08002B2CF9AE}" pid="4" name="ICV">
    <vt:lpwstr>2B35706F1E4448049A543CD1E89BA787_12</vt:lpwstr>
  </property>
  <property fmtid="{D5CDD505-2E9C-101B-9397-08002B2CF9AE}" pid="5" name="KSOProductBuildVer">
    <vt:lpwstr>1046-12.2.0.16909</vt:lpwstr>
  </property>
</Properties>
</file>